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5nZbO3mX7cTHtjrcwYKbHJu3BiAciw0aXSBjDrUt5f98fPTFpKROY8BI5KjeCir1yOILnwKZJJWDgPS6JsjRQ==" workbookSaltValue="9Ua5GsGLHWM4dYC/6dKr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D14" i="7"/>
  <c r="AL21" i="11"/>
  <c r="L17" i="14"/>
  <c r="R13" i="17"/>
  <c r="P13" i="14"/>
  <c r="BG17" i="13"/>
  <c r="R8" i="9"/>
  <c r="T17" i="11" s="1"/>
  <c r="AA10" i="16"/>
  <c r="S19" i="14"/>
  <c r="V19" i="14" s="1"/>
  <c r="R12" i="14"/>
  <c r="R19" i="14"/>
  <c r="T13" i="11"/>
  <c r="T25" i="11"/>
  <c r="T11" i="11"/>
  <c r="S16" i="14"/>
  <c r="V16" i="14" s="1"/>
  <c r="T18" i="11"/>
  <c r="AA28" i="16"/>
  <c r="AA17" i="16"/>
  <c r="X13" i="17"/>
  <c r="AA18" i="16"/>
  <c r="X9" i="17"/>
  <c r="T18" i="20"/>
  <c r="X19" i="20"/>
  <c r="AA12" i="21"/>
  <c r="V19" i="16"/>
  <c r="V16" i="20"/>
  <c r="V23" i="20" s="1"/>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S29" i="14"/>
  <c r="V29" i="14" s="1"/>
  <c r="R13"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BH9" i="16"/>
  <c r="BF13"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G25" i="11"/>
  <c r="Q18" i="20"/>
  <c r="Q23" i="20" s="1"/>
  <c r="BF18" i="11"/>
  <c r="BG22" i="11"/>
  <c r="AZ19" i="11"/>
  <c r="V12" i="21"/>
  <c r="AZ18" i="11"/>
  <c r="AP21" i="20"/>
  <c r="BJ11" i="11"/>
  <c r="R10" i="21"/>
  <c r="BG9" i="11"/>
  <c r="BL11" i="11"/>
  <c r="R18" i="20"/>
  <c r="R23" i="20" s="1"/>
  <c r="BL21" i="11"/>
  <c r="BK18" i="11"/>
  <c r="BK23" i="11" s="1"/>
  <c r="T18" i="16"/>
  <c r="AP18" i="20"/>
  <c r="BG21" i="11"/>
  <c r="BU25" i="17"/>
  <c r="BV28" i="16"/>
  <c r="BV13" i="16"/>
  <c r="BW13" i="20"/>
  <c r="BV21" i="16"/>
  <c r="BU29" i="17"/>
  <c r="BV11" i="16"/>
  <c r="BW11" i="20"/>
  <c r="S21" i="17"/>
  <c r="BW28" i="20"/>
  <c r="BU13" i="17"/>
  <c r="S11" i="17"/>
  <c r="BV20" i="16"/>
  <c r="BV23" i="16" s="1"/>
  <c r="BV26" i="16" s="1"/>
  <c r="BV30" i="16" s="1"/>
  <c r="S25" i="17"/>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T28" i="11"/>
  <c r="T19" i="11"/>
  <c r="R28" i="14"/>
  <c r="R18" i="14"/>
  <c r="S28" i="14"/>
  <c r="V28" i="14" s="1"/>
  <c r="S21" i="14"/>
  <c r="V21" i="14" s="1"/>
  <c r="S10" i="14"/>
  <c r="V10" i="14" s="1"/>
  <c r="AP14" i="20"/>
  <c r="V10" i="21"/>
  <c r="V14" i="21" s="1"/>
  <c r="V31" i="21" s="1"/>
  <c r="AO18" i="17"/>
  <c r="AO9" i="17"/>
  <c r="AO16" i="17"/>
  <c r="AM20" i="11"/>
  <c r="AO13" i="17"/>
  <c r="X14" i="17"/>
  <c r="AM12" i="11"/>
  <c r="AO12" i="17"/>
  <c r="AP14" i="21"/>
  <c r="AM9" i="11"/>
  <c r="AP30" i="21"/>
  <c r="AM25" i="11"/>
  <c r="BH26" i="16"/>
  <c r="AM17" i="11"/>
  <c r="AQ26" i="21"/>
  <c r="AO26" i="17"/>
  <c r="X12" i="16"/>
  <c r="L29" i="2"/>
  <c r="L21" i="2"/>
  <c r="L13" i="2"/>
  <c r="AZ28" i="11"/>
  <c r="AZ20" i="11"/>
  <c r="V21" i="16"/>
  <c r="U10" i="21"/>
  <c r="AA9" i="16"/>
  <c r="AA20" i="16"/>
  <c r="X21"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AA25" i="16"/>
  <c r="S11" i="14"/>
  <c r="V11" i="14" s="1"/>
  <c r="V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S14" i="14"/>
  <c r="AQ17" i="11"/>
  <c r="P23" i="17"/>
  <c r="P31" i="17" s="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<sst xmlns="http://schemas.openxmlformats.org/spreadsheetml/2006/main" count="2682" uniqueCount="1193">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</sst>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qD8x8lbp7TBAvpjs2GmSXlxs5EPWRDiSq71B3pvFxEp+Os1XCtMAPYQ48XnUlVH4DnTNX+Bo1aoCoiA4BI+7Q==" saltValue="C69sShjJUMnhlL1jM8sO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38.374045801526719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87</v>
      </c>
      <c r="D17" s="239">
        <f>IF(ISNUMBER(IF(D_I="SI",Datos!I17,Datos!I17+Datos!AC17)),IF(D_I="SI",Datos!I17,Datos!I17+Datos!AC17)," - ")</f>
        <v>87</v>
      </c>
      <c r="E17" s="240">
        <f>IF(ISNUMBER(IF(D_I="SI",Datos!J17,Datos!J17+Datos!AD17)),IF(D_I="SI",Datos!J17,Datos!J17+Datos!AD17)," - ")</f>
        <v>117</v>
      </c>
      <c r="F17" s="240">
        <f>IF(ISNUMBER(IF(D_I="SI",Datos!K17,Datos!K17+Datos!AE17)),IF(D_I="SI",Datos!K17,Datos!K17+Datos!AE17)," - ")</f>
        <v>134</v>
      </c>
      <c r="G17" s="1390" t="str">
        <f>IF(Datos!E17&lt;&gt;"",Datos!E17,Datos!D17)</f>
        <v>04</v>
      </c>
      <c r="H17" s="241">
        <f>IF(ISNUMBER(IF(D_I="SI",Datos!L17,Datos!L17+Datos!AF17)),IF(D_I="SI",Datos!L17,Datos!L17+Datos!AF17)," - ")</f>
        <v>70</v>
      </c>
      <c r="I17" s="1400" t="str">
        <f>IF(ISNUMBER(Datos!AS17/Datos!BM17),Datos!AS17/Datos!BM17," - ")</f>
        <v xml:space="preserve"> - </v>
      </c>
      <c r="J17" s="1401">
        <f>IF(ISNUMBER(Datos!BY17/Datos!CN17),Datos!BY17/Datos!CN17," - ")</f>
        <v>0</v>
      </c>
      <c r="K17" s="244">
        <f t="shared" si="3"/>
        <v>-0.19540229885057472</v>
      </c>
      <c r="L17" s="1402">
        <f>IF(ISNUMBER(NºAsuntos!I17/NºAsuntos!G17),(NºAsuntos!I17/NºAsuntos!G17)*11," - ")</f>
        <v>5.746268656716417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2.4444444444444442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v>
      </c>
      <c r="D23" s="1407">
        <f>SUBTOTAL(9,D16:D22)</f>
        <v>91</v>
      </c>
      <c r="E23" s="1408">
        <f>SUBTOTAL(9,E16:E22)</f>
        <v>135</v>
      </c>
      <c r="F23" s="1408">
        <f>SUBTOTAL(9,F16:F22)</f>
        <v>152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v>
      </c>
      <c r="D31" s="1435">
        <f>SUBTOTAL(9,D9:D30)</f>
        <v>91</v>
      </c>
      <c r="E31" s="1436">
        <f>SUBTOTAL(9,E9:E30)</f>
        <v>138</v>
      </c>
      <c r="F31" s="1436">
        <f>SUBTOTAL(9,F9:F30)</f>
        <v>152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lb26QiS4aocY2wHy1iLDlYOggqXsHP0tAdB/sNLkrzBP2JWQgElNFN0E/lUVFOj6X+gYIWm/4Etj9JcXelctA==" saltValue="duamXfPFW28E2Idtg0HG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drCCk1JpSFx3SW+LCO5b/VLe9I+ysSvQ0CkdJbMc53sM00EaDhPBRfnGADGgJ1Riu+akTNUOxQRER3Q5YUe5w==" saltValue="ZI+KfRY9T03w3XqvBZSr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0</v>
      </c>
      <c r="L10" s="194">
        <v>3</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192</v>
      </c>
      <c r="J12" s="196">
        <v>348</v>
      </c>
      <c r="K12" s="196">
        <v>107</v>
      </c>
      <c r="L12" s="196">
        <v>433</v>
      </c>
      <c r="M12" s="196">
        <v>42</v>
      </c>
      <c r="N12" s="196">
        <v>51</v>
      </c>
      <c r="O12" s="194">
        <v>51</v>
      </c>
      <c r="P12" s="196">
        <v>149</v>
      </c>
      <c r="Q12" s="196">
        <v>49</v>
      </c>
      <c r="R12" s="196">
        <v>450</v>
      </c>
      <c r="S12" s="196">
        <v>357</v>
      </c>
      <c r="T12" s="196">
        <v>154</v>
      </c>
      <c r="U12" s="196">
        <v>174</v>
      </c>
      <c r="V12" s="196">
        <v>337</v>
      </c>
      <c r="W12" s="196">
        <v>40</v>
      </c>
      <c r="X12" s="202">
        <v>19</v>
      </c>
      <c r="Y12" s="204">
        <v>14</v>
      </c>
      <c r="Z12" s="194">
        <v>34</v>
      </c>
      <c r="AA12" s="194">
        <v>24</v>
      </c>
      <c r="AB12" s="194">
        <v>24</v>
      </c>
      <c r="AC12" s="196">
        <v>0</v>
      </c>
      <c r="AD12" s="196">
        <v>0</v>
      </c>
      <c r="AE12" s="196">
        <v>0</v>
      </c>
      <c r="AF12" s="202">
        <v>0</v>
      </c>
      <c r="AG12" s="215">
        <v>20</v>
      </c>
      <c r="AH12" s="196">
        <v>9</v>
      </c>
      <c r="AI12" s="196">
        <v>16</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377</v>
      </c>
      <c r="AZ12" s="137">
        <f t="shared" si="1"/>
        <v>163</v>
      </c>
      <c r="BA12" s="137">
        <f t="shared" si="1"/>
        <v>190</v>
      </c>
      <c r="BB12" s="137">
        <f t="shared" si="1"/>
        <v>350</v>
      </c>
      <c r="BC12" s="135">
        <f>IF(ISNUMBER(X12),X12," - ")</f>
        <v>19</v>
      </c>
      <c r="BD12" s="136">
        <f t="shared" si="2"/>
        <v>1.165644171779141</v>
      </c>
      <c r="BE12" s="137">
        <f t="shared" si="3"/>
        <v>1.8421052631578947</v>
      </c>
      <c r="BF12" s="137">
        <f t="shared" si="4"/>
        <v>0.1</v>
      </c>
      <c r="BG12" s="209">
        <f t="shared" si="5"/>
        <v>2.8421052631578947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192</v>
      </c>
      <c r="J14" s="197">
        <f t="shared" si="7"/>
        <v>351</v>
      </c>
      <c r="K14" s="197">
        <f t="shared" si="7"/>
        <v>107</v>
      </c>
      <c r="L14" s="197">
        <f t="shared" si="7"/>
        <v>436</v>
      </c>
      <c r="M14" s="197">
        <f t="shared" si="7"/>
        <v>42</v>
      </c>
      <c r="N14" s="197">
        <f t="shared" si="7"/>
        <v>51</v>
      </c>
      <c r="O14" s="197">
        <f t="shared" si="7"/>
        <v>51</v>
      </c>
      <c r="P14" s="197">
        <f t="shared" si="7"/>
        <v>149</v>
      </c>
      <c r="Q14" s="197">
        <f t="shared" si="7"/>
        <v>49</v>
      </c>
      <c r="R14" s="197">
        <f t="shared" si="7"/>
        <v>450</v>
      </c>
      <c r="S14" s="197">
        <f t="shared" si="7"/>
        <v>357</v>
      </c>
      <c r="T14" s="197">
        <f t="shared" si="7"/>
        <v>154</v>
      </c>
      <c r="U14" s="197">
        <f t="shared" si="7"/>
        <v>174</v>
      </c>
      <c r="V14" s="197">
        <f t="shared" si="7"/>
        <v>337</v>
      </c>
      <c r="W14" s="197">
        <f t="shared" si="7"/>
        <v>40</v>
      </c>
      <c r="X14" s="197">
        <f t="shared" si="7"/>
        <v>19</v>
      </c>
      <c r="Y14" s="197">
        <f t="shared" si="7"/>
        <v>14</v>
      </c>
      <c r="Z14" s="197">
        <f t="shared" si="7"/>
        <v>34</v>
      </c>
      <c r="AA14" s="197">
        <f t="shared" si="7"/>
        <v>24</v>
      </c>
      <c r="AB14" s="197">
        <f t="shared" si="7"/>
        <v>24</v>
      </c>
      <c r="AC14" s="197">
        <f t="shared" si="7"/>
        <v>0</v>
      </c>
      <c r="AD14" s="197">
        <f t="shared" si="7"/>
        <v>0</v>
      </c>
      <c r="AE14" s="197">
        <f t="shared" si="7"/>
        <v>0</v>
      </c>
      <c r="AF14" s="197">
        <f>SUBTOTAL(9,AF9:AF13)</f>
        <v>0</v>
      </c>
      <c r="AG14" s="197">
        <f t="shared" ref="AG14:AT14" si="8">SUBTOTAL(9,AG8:AG13)</f>
        <v>20</v>
      </c>
      <c r="AH14" s="197">
        <f t="shared" si="8"/>
        <v>9</v>
      </c>
      <c r="AI14" s="197">
        <f t="shared" si="8"/>
        <v>16</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377</v>
      </c>
      <c r="AZ14" s="197">
        <f>SUBTOTAL(9,AZ8:AZ13)</f>
        <v>163</v>
      </c>
      <c r="BA14" s="197">
        <f>SUBTOTAL(9,BA8:BA13)</f>
        <v>190</v>
      </c>
      <c r="BB14" s="197">
        <f>SUBTOTAL(9,BB8:BB13)</f>
        <v>350</v>
      </c>
      <c r="BC14" s="197">
        <f>SUBTOTAL(9,BC8:BC13)</f>
        <v>19</v>
      </c>
      <c r="BD14" s="219">
        <f>IF(ISNUMBER(BA14/AZ14),BA14/AZ14," - ")</f>
        <v>1.165644171779141</v>
      </c>
      <c r="BE14" s="220">
        <f>IF(ISNUMBER(BB14/BA14),BB14/BA14, " - ")</f>
        <v>1.8421052631578947</v>
      </c>
      <c r="BF14" s="220">
        <f>IF(ISNUMBER(BC14/BA14),BC14/BA14, " - ")</f>
        <v>0.1</v>
      </c>
      <c r="BG14" s="221">
        <f>IF(ISNUMBER((AY14+AZ14)/BA14),(AY14+AZ14)/BA14," - ")</f>
        <v>2.8421052631578947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v>
      </c>
      <c r="J17" s="196">
        <v>117</v>
      </c>
      <c r="K17" s="196">
        <v>134</v>
      </c>
      <c r="L17" s="196">
        <v>70</v>
      </c>
      <c r="M17" s="196">
        <v>33</v>
      </c>
      <c r="N17" s="196">
        <v>62</v>
      </c>
      <c r="O17" s="194">
        <v>0</v>
      </c>
      <c r="P17" s="196">
        <v>5</v>
      </c>
      <c r="Q17" s="196">
        <v>8</v>
      </c>
      <c r="R17" s="196">
        <v>16</v>
      </c>
      <c r="S17" s="196">
        <v>76</v>
      </c>
      <c r="T17" s="196">
        <v>141</v>
      </c>
      <c r="U17" s="196">
        <v>138</v>
      </c>
      <c r="V17" s="196">
        <v>81</v>
      </c>
      <c r="W17" s="196">
        <v>22</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76</v>
      </c>
      <c r="AZ17" s="137">
        <f t="shared" si="10"/>
        <v>141</v>
      </c>
      <c r="BA17" s="137">
        <f t="shared" si="10"/>
        <v>138</v>
      </c>
      <c r="BB17" s="137">
        <f t="shared" si="10"/>
        <v>81</v>
      </c>
      <c r="BC17" s="135">
        <f>IF(ISNUMBER(W17),W17," - ")</f>
        <v>22</v>
      </c>
      <c r="BD17" s="136">
        <f t="shared" ref="BD17:BD22" si="12">IF(ISNUMBER(BA17/AZ17),BA17/AZ17," - ")</f>
        <v>0.97872340425531912</v>
      </c>
      <c r="BE17" s="137">
        <f t="shared" ref="BE17:BE22" si="13">IF(ISNUMBER(BB17/BA17),BB17/BA17, " - ")</f>
        <v>0.58695652173913049</v>
      </c>
      <c r="BF17" s="137">
        <f t="shared" ref="BF17:BF22" si="14">IF(ISNUMBER(BC17/BA17),BC17/BA17, " - ")</f>
        <v>0.15942028985507245</v>
      </c>
      <c r="BG17" s="209">
        <f t="shared" si="11"/>
        <v>1.5724637681159421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18</v>
      </c>
      <c r="K18" s="196">
        <v>18</v>
      </c>
      <c r="L18" s="196">
        <v>4</v>
      </c>
      <c r="M18" s="196">
        <v>9</v>
      </c>
      <c r="N18" s="196">
        <v>10</v>
      </c>
      <c r="O18" s="196">
        <v>0</v>
      </c>
      <c r="P18" s="196">
        <v>1</v>
      </c>
      <c r="Q18" s="196">
        <v>0</v>
      </c>
      <c r="R18" s="196">
        <v>1</v>
      </c>
      <c r="S18" s="196">
        <v>4</v>
      </c>
      <c r="T18" s="196">
        <v>13</v>
      </c>
      <c r="U18" s="196">
        <v>13</v>
      </c>
      <c r="V18" s="196">
        <v>4</v>
      </c>
      <c r="W18" s="196">
        <v>2</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13</v>
      </c>
      <c r="BA18" s="139">
        <f t="shared" si="15"/>
        <v>13</v>
      </c>
      <c r="BB18" s="139">
        <f t="shared" si="15"/>
        <v>4</v>
      </c>
      <c r="BC18" s="135">
        <f>IF(ISNUMBER(W18),W18," - ")</f>
        <v>2</v>
      </c>
      <c r="BD18" s="136">
        <f>IF(ISNUMBER(BA18/AZ18),BA18/AZ18," - ")</f>
        <v>1</v>
      </c>
      <c r="BE18" s="137">
        <f>IF(ISNUMBER(BB18/BA18),BB18/BA18, " - ")</f>
        <v>0.30769230769230771</v>
      </c>
      <c r="BF18" s="137">
        <f>IF(ISNUMBER(BC18/BA18),BC18/BA18, " - ")</f>
        <v>0.15384615384615385</v>
      </c>
      <c r="BG18" s="209">
        <f>IF(ISNUMBER((AY18+AZ18)/BA18),(AY18+AZ18)/BA18," - ")</f>
        <v>1.3076923076923077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v>
      </c>
      <c r="J23" s="197">
        <f t="shared" si="21"/>
        <v>135</v>
      </c>
      <c r="K23" s="197">
        <f t="shared" si="21"/>
        <v>152</v>
      </c>
      <c r="L23" s="197">
        <f t="shared" si="21"/>
        <v>74</v>
      </c>
      <c r="M23" s="197">
        <f t="shared" si="21"/>
        <v>42</v>
      </c>
      <c r="N23" s="197">
        <f t="shared" si="21"/>
        <v>72</v>
      </c>
      <c r="O23" s="197">
        <f t="shared" si="21"/>
        <v>0</v>
      </c>
      <c r="P23" s="197">
        <f t="shared" si="21"/>
        <v>6</v>
      </c>
      <c r="Q23" s="197">
        <f t="shared" si="21"/>
        <v>8</v>
      </c>
      <c r="R23" s="197">
        <f t="shared" si="21"/>
        <v>17</v>
      </c>
      <c r="S23" s="197">
        <f t="shared" si="21"/>
        <v>80</v>
      </c>
      <c r="T23" s="197">
        <f t="shared" si="21"/>
        <v>154</v>
      </c>
      <c r="U23" s="197">
        <f t="shared" si="21"/>
        <v>151</v>
      </c>
      <c r="V23" s="197">
        <f t="shared" si="21"/>
        <v>85</v>
      </c>
      <c r="W23" s="197">
        <f t="shared" si="21"/>
        <v>24</v>
      </c>
      <c r="X23" s="197">
        <f t="shared" si="21"/>
        <v>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80</v>
      </c>
      <c r="AZ23" s="197">
        <f>SUBTOTAL(9,AZ15:AZ22)</f>
        <v>154</v>
      </c>
      <c r="BA23" s="197">
        <f>SUBTOTAL(9,BA15:BA22)</f>
        <v>151</v>
      </c>
      <c r="BB23" s="197">
        <f>SUBTOTAL(9,BB15:BB22)</f>
        <v>85</v>
      </c>
      <c r="BC23" s="197">
        <f>SUBTOTAL(9,BC15:BC22)</f>
        <v>24</v>
      </c>
      <c r="BD23" s="219">
        <f>IF(ISNUMBER(BA23/AZ23),BA23/AZ23," - ")</f>
        <v>0.98051948051948057</v>
      </c>
      <c r="BE23" s="220">
        <f>IF(ISNUMBER(BB23/BA23),BB23/BA23, " - ")</f>
        <v>0.5629139072847682</v>
      </c>
      <c r="BF23" s="220">
        <f>IF(ISNUMBER(BC23/BA23),BC23/BA23, " - ")</f>
        <v>0.15894039735099338</v>
      </c>
      <c r="BG23" s="221">
        <f>IF(ISNUMBER((AY23+AZ23)/BA23),(AY23+AZ23)/BA23," - ")</f>
        <v>1.5496688741721854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283</v>
      </c>
      <c r="J31" s="144">
        <f t="shared" si="36"/>
        <v>486</v>
      </c>
      <c r="K31" s="144">
        <f t="shared" si="36"/>
        <v>259</v>
      </c>
      <c r="L31" s="144">
        <f t="shared" si="36"/>
        <v>510</v>
      </c>
      <c r="M31" s="144">
        <f t="shared" si="36"/>
        <v>84</v>
      </c>
      <c r="N31" s="144">
        <f t="shared" si="36"/>
        <v>123</v>
      </c>
      <c r="O31" s="144">
        <f t="shared" si="36"/>
        <v>51</v>
      </c>
      <c r="P31" s="144">
        <f t="shared" si="36"/>
        <v>155</v>
      </c>
      <c r="Q31" s="144">
        <f t="shared" si="36"/>
        <v>57</v>
      </c>
      <c r="R31" s="144">
        <f t="shared" si="36"/>
        <v>467</v>
      </c>
      <c r="S31" s="144">
        <f t="shared" si="36"/>
        <v>437</v>
      </c>
      <c r="T31" s="144">
        <f t="shared" si="36"/>
        <v>308</v>
      </c>
      <c r="U31" s="144">
        <f t="shared" si="36"/>
        <v>325</v>
      </c>
      <c r="V31" s="144">
        <f t="shared" si="36"/>
        <v>422</v>
      </c>
      <c r="W31" s="144">
        <f t="shared" si="36"/>
        <v>64</v>
      </c>
      <c r="X31" s="144">
        <f t="shared" si="36"/>
        <v>114</v>
      </c>
      <c r="Y31" s="144">
        <f t="shared" si="36"/>
        <v>14</v>
      </c>
      <c r="Z31" s="144">
        <f t="shared" si="36"/>
        <v>34</v>
      </c>
      <c r="AA31" s="144">
        <f t="shared" si="36"/>
        <v>24</v>
      </c>
      <c r="AB31" s="144">
        <f t="shared" si="36"/>
        <v>24</v>
      </c>
      <c r="AC31" s="144">
        <f t="shared" si="36"/>
        <v>0</v>
      </c>
      <c r="AD31" s="144">
        <f t="shared" si="36"/>
        <v>0</v>
      </c>
      <c r="AE31" s="144">
        <f t="shared" si="36"/>
        <v>0</v>
      </c>
      <c r="AF31" s="144">
        <f t="shared" si="36"/>
        <v>0</v>
      </c>
      <c r="AG31" s="144">
        <f t="shared" si="36"/>
        <v>20</v>
      </c>
      <c r="AH31" s="144">
        <f t="shared" si="36"/>
        <v>9</v>
      </c>
      <c r="AI31" s="144">
        <f t="shared" si="36"/>
        <v>16</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457</v>
      </c>
      <c r="AZ31" s="144">
        <f>SUBTOTAL(9,AZ9:AZ30)</f>
        <v>317</v>
      </c>
      <c r="BA31" s="144">
        <f>SUBTOTAL(9,BA9:BA30)</f>
        <v>341</v>
      </c>
      <c r="BB31" s="144">
        <f>SUBTOTAL(9,BB9:BB30)</f>
        <v>435</v>
      </c>
      <c r="BC31" s="145">
        <f>SUBTOTAL(9,BC9:BC30)</f>
        <v>43</v>
      </c>
      <c r="BD31" s="227">
        <f>IF(ISNUMBER(BA31/AZ31),BA31/AZ31," - ")</f>
        <v>1.0757097791798107</v>
      </c>
      <c r="BE31" s="224">
        <f>IF(ISNUMBER(BB31/BA31),BB31/BA31, " - ")</f>
        <v>1.2756598240469208</v>
      </c>
      <c r="BF31" s="224">
        <f>IF(ISNUMBER(BC31/BA31),BC31/BA31, " - ")</f>
        <v>0.12609970674486803</v>
      </c>
      <c r="BG31" s="145">
        <f>IF(ISNUMBER((AY31+AZ31)/BA31),(AY31+AZ31)/BA31," - ")</f>
        <v>2.2697947214076248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HauVlL2aqs1JQDrhazoXZ5NwInUBoLrL7E8f8aUm7ye0H/PlmXJZrDrQz0Z+SoYLXjiJNcSiSklSBguJV0u1w==" saltValue="VnPtsdu1Pmjs1QjLZRWr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LGW1NmHC7pdYZYLt9+iSHlwBPKwjx6IhTxvrUOFXkb0ctF9mh48mumXXyXe4gwEMYMovXgg1ZapmDfhaZDgw==" saltValue="hDLMvS21SHhOD3+fpitN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PRIEGO DE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149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450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0.34293193717277487</v>
      </c>
      <c r="BH12" s="764">
        <f>IF(ISNUMBER(((IF(J_V="SI",Datos!L12/Datos!K12,(Datos!L12+Datos!AB12)/(Datos!K12+Datos!AA12)))*11)/factor_trimestre),((IF(J_V="SI",Datos!L12/Datos!K12,(Datos!L12+Datos!AB12)/(Datos!K12+Datos!AA12)))*11)/factor_trimestre," - ")</f>
        <v>10.465648854961833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0.2857142857142857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v>
      </c>
      <c r="AD14" s="1198">
        <f t="shared" si="2"/>
        <v>0</v>
      </c>
      <c r="AE14" s="1198">
        <f t="shared" si="2"/>
        <v>0</v>
      </c>
      <c r="AF14" s="1198">
        <f t="shared" si="2"/>
        <v>3</v>
      </c>
      <c r="AG14" s="1198">
        <f t="shared" si="2"/>
        <v>0</v>
      </c>
      <c r="AH14" s="1198">
        <f t="shared" si="2"/>
        <v>24</v>
      </c>
      <c r="AI14" s="1198">
        <f t="shared" si="2"/>
        <v>0</v>
      </c>
      <c r="AJ14" s="1198">
        <f t="shared" si="2"/>
        <v>0</v>
      </c>
      <c r="AK14" s="1198">
        <f t="shared" si="2"/>
        <v>0</v>
      </c>
      <c r="AL14" s="1198">
        <f t="shared" si="2"/>
        <v>0</v>
      </c>
      <c r="AM14" s="1198">
        <f t="shared" si="2"/>
        <v>450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51</v>
      </c>
      <c r="BE14" s="1198">
        <f t="shared" si="2"/>
        <v>0</v>
      </c>
      <c r="BF14" s="1198">
        <f t="shared" si="2"/>
        <v>0</v>
      </c>
      <c r="BG14" s="1198">
        <f>IF(ISNUMBER(Datos!K14/Datos!J14),Datos!K14/Datos!J14," - ")</f>
        <v>0.30484330484330485</v>
      </c>
      <c r="BH14" s="1202">
        <f>IF(ISNUMBER(((Datos!L14/Datos!K14)*11)/factor_trimestre),((Datos!L14/Datos!K14)*11)/factor_trimestre," - ")</f>
        <v>12.224299065420562</v>
      </c>
      <c r="BI14" s="1198">
        <f>IF(ISNUMBER('Resol  Asuntos'!D14/NºAsuntos!G14),'Resol  Asuntos'!D14/NºAsuntos!G14," - ")</f>
        <v>0.32061068702290074</v>
      </c>
      <c r="BJ14" s="1198" t="str">
        <f>IF(ISNUMBER(Datos!CI14/Datos!CJ14),Datos!CI14/Datos!CJ14," - ")</f>
        <v xml:space="preserve"> - </v>
      </c>
      <c r="BK14" s="1198">
        <f>SUBTOTAL(9,BK8:BK13)</f>
        <v>0</v>
      </c>
      <c r="BL14" s="1198" t="str">
        <f>IF(ISNUMBER((I14-AB14+L14)/(F14)),(I14-AB14+L14)/(F14)," - ")</f>
        <v xml:space="preserve"> - </v>
      </c>
      <c r="BM14" s="1203">
        <f>SUBTOTAL(9,BM9:BM13)</f>
        <v>0.2857142857142857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87</v>
      </c>
      <c r="G17" s="743">
        <f>IF(ISNUMBER(IF(D_I="SI",Datos!I17,Datos!I17+Datos!AC17)),IF(D_I="SI",Datos!I17,Datos!I17+Datos!AC17)," - ")</f>
        <v>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v>
      </c>
      <c r="AC17" s="240">
        <f>IF(ISNUMBER(Datos!Q17),Datos!Q17," - ")</f>
        <v>8</v>
      </c>
      <c r="AD17" s="374"/>
      <c r="AE17" s="562"/>
      <c r="AF17" s="741">
        <f>IF(ISNUMBER(IF(D_I="SI",Datos!L17,Datos!L17+Datos!AF17)),IF(D_I="SI",Datos!L17,Datos!L17+Datos!AF17)," - ")</f>
        <v>70</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1.1452991452991452</v>
      </c>
      <c r="BH17" s="764">
        <f>IF(ISNUMBER(((IF(D_I="SI",Datos!L17/Datos!K17,(Datos!L17+Datos!AF17)/(Datos!K17+Datos!AE17)))*11)/factor_trimestre),((IF(D_I="SI",Datos!L17/Datos!K17,(Datos!L17+Datos!AF17)/(Datos!K17+Datos!AE17)))*11)/factor_trimestre," - ")</f>
        <v>1.5671641791044775</v>
      </c>
      <c r="BI17" s="266">
        <f>IF(ISNUMBER('Resol  Asuntos'!D17/NºAsuntos!G17),'Resol  Asuntos'!D17/NºAsuntos!G17," - ")</f>
        <v>0.2462686567164179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0.66666666666666663</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87</v>
      </c>
      <c r="G23" s="1197">
        <f>SUBTOTAL(9,G16:G22)</f>
        <v>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v>
      </c>
      <c r="AC23" s="1198">
        <f t="shared" si="5"/>
        <v>8</v>
      </c>
      <c r="AD23" s="1198">
        <f t="shared" si="5"/>
        <v>0</v>
      </c>
      <c r="AE23" s="1198">
        <f t="shared" si="5"/>
        <v>0</v>
      </c>
      <c r="AF23" s="1198">
        <f t="shared" si="5"/>
        <v>74</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72</v>
      </c>
      <c r="BE23" s="1198">
        <f t="shared" si="5"/>
        <v>0</v>
      </c>
      <c r="BF23" s="1198">
        <f t="shared" si="5"/>
        <v>0</v>
      </c>
      <c r="BG23" s="1198">
        <f>IF(ISNUMBER(Datos!K23/Datos!J23),Datos!K23/Datos!J23," - ")</f>
        <v>1.125925925925926</v>
      </c>
      <c r="BH23" s="1202">
        <f>IF(ISNUMBER(((Datos!L23/Datos!K23)*11)/factor_trimestre),((Datos!L23/Datos!K23)*11)/factor_trimestre," - ")</f>
        <v>1.4605263157894739</v>
      </c>
      <c r="BI23" s="1198">
        <f>SUBTOTAL(9,BI16:BI22)</f>
        <v>0.74626865671641784</v>
      </c>
      <c r="BJ23" s="1198">
        <f>SUBTOTAL(9,BJ16:BJ22)</f>
        <v>0</v>
      </c>
      <c r="BK23" s="1198">
        <f>SUBTOTAL(9,BK16:BK22)</f>
        <v>0</v>
      </c>
      <c r="BL23" s="1198">
        <f>IF(ISNUMBER((I23-AB23+L23)/(F23)),(I23-AB23+L23)/(F23)," - ")</f>
        <v>-1.7471264367816093</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87</v>
      </c>
      <c r="G31" s="1117">
        <f t="shared" si="18"/>
        <v>91</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155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152</v>
      </c>
      <c r="AC31" s="1118">
        <f t="shared" si="19"/>
        <v>57</v>
      </c>
      <c r="AD31" s="1118">
        <f t="shared" si="19"/>
        <v>0</v>
      </c>
      <c r="AE31" s="1118">
        <f t="shared" si="19"/>
        <v>0</v>
      </c>
      <c r="AF31" s="1125">
        <f t="shared" si="19"/>
        <v>77</v>
      </c>
      <c r="AG31" s="1125">
        <f t="shared" si="19"/>
        <v>0</v>
      </c>
      <c r="AH31" s="1125">
        <f t="shared" si="19"/>
        <v>24</v>
      </c>
      <c r="AI31" s="1125">
        <f t="shared" si="19"/>
        <v>0</v>
      </c>
      <c r="AJ31" s="1118">
        <f t="shared" si="19"/>
        <v>0</v>
      </c>
      <c r="AK31" s="1125">
        <f t="shared" si="19"/>
        <v>0</v>
      </c>
      <c r="AL31" s="1125">
        <f t="shared" si="19"/>
        <v>0</v>
      </c>
      <c r="AM31" s="1125">
        <f t="shared" si="19"/>
        <v>467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v>
      </c>
      <c r="BD31" s="1117">
        <f t="shared" si="19"/>
        <v>123</v>
      </c>
      <c r="BE31" s="1117">
        <f t="shared" si="19"/>
        <v>0</v>
      </c>
      <c r="BF31" s="1127">
        <f t="shared" si="19"/>
        <v>0</v>
      </c>
      <c r="BG31" s="1223">
        <f>IF(ISNUMBER(Datos!K31/Datos!J31),Datos!K31/Datos!J31," - ")</f>
        <v>0.53292181069958844</v>
      </c>
      <c r="BH31" s="1223">
        <f>IF(ISNUMBER(((Datos!L31/Datos!K31)*11)/factor_trimestre),((Datos!L31/Datos!K31)*11)/factor_trimestre," - ")</f>
        <v>5.9073359073359075</v>
      </c>
      <c r="BI31" s="1103">
        <f>IF(ISNUMBER(Datos!J31/Datos!I31),Datos!J31/Datos!I31," - ")</f>
        <v>1.7173144876325088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-1.7471264367816093</v>
      </c>
      <c r="BM31" s="1188">
        <f>IF(ISNUMBER((Datos!P31-Datos!Q31+R31)/(Datos!R31-Datos!P31+Datos!Q31-R31)),(Datos!P31-Datos!Q31+R31)/(Datos!R31-Datos!P31+Datos!Q31-R31)," - ")</f>
        <v>0.26558265582655827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44.926606816006036</v>
      </c>
      <c r="G33" s="674">
        <f>IF(ISNUMBER(STDEV(G8:G30)),STDEV(G8:G30),"-")</f>
        <v>43.077449630481453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68.534315353349669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20.472978707136321</v>
      </c>
      <c r="BD33" s="673"/>
      <c r="BE33" s="673">
        <f>IF(ISNUMBER(STDEV(BE8:BE30)),STDEV(BE8:BE30),"-")</f>
        <v>0</v>
      </c>
      <c r="BF33" s="678">
        <f>IF(ISNUMBER(STDEV(BF8:BF30)),STDEV(BF8:BF30),"-")</f>
        <v>0</v>
      </c>
      <c r="BG33" s="1052">
        <f>IF(ISNUMBER(STDEV(BG8:BG30)),STDEV(BG8:BG30),"-")</f>
        <v>0.49602227794161152</v>
      </c>
      <c r="BH33" s="1058">
        <f>IF(ISNUMBER(STDEV(BH8:BH30)),STDEV(BH8:BH30),"-")</f>
        <v>5.5850373273735485</v>
      </c>
      <c r="BI33" s="273">
        <f>IF(ISNUMBER(STDEV(BI8:BI30)),STDEV(BI8:BI30),"-")</f>
        <v>0.22247093744455188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mT76DG7/YYZhXkIeG4q2zIlmdjA3rcZkCGoEMBpn6DF+TnhgahgWqtARtn3Qt0llyV1yfvp2Ovu/+7XXgK2wg==" saltValue="opY+s/t1mvRE0GtNYkip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PRIEGO DE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450</v>
      </c>
      <c r="AF12" s="693" t="str">
        <f>IF(ISNUMBER(Datos!BV12),Datos!BV12," - ")</f>
        <v xml:space="preserve"> - </v>
      </c>
      <c r="AG12" s="552" t="str">
        <f>IF(ISNUMBER(Datos!DV12),Datos!DV12," - ")</f>
        <v xml:space="preserve"> - </v>
      </c>
      <c r="AH12" s="553"/>
      <c r="AI12" s="554"/>
      <c r="AJ12" s="552">
        <f>IF(ISNUMBER(Datos!M12),Datos!M12," - ")</f>
        <v>42</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10.465648854961833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0.2857142857142857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v>
      </c>
      <c r="AA14" s="1199">
        <f t="shared" si="3"/>
        <v>3</v>
      </c>
      <c r="AB14" s="1199">
        <f t="shared" si="3"/>
        <v>0</v>
      </c>
      <c r="AC14" s="1199">
        <f t="shared" si="3"/>
        <v>0</v>
      </c>
      <c r="AD14" s="1199">
        <f t="shared" si="3"/>
        <v>0</v>
      </c>
      <c r="AE14" s="1199">
        <f t="shared" si="3"/>
        <v>450</v>
      </c>
      <c r="AF14" s="1211">
        <f t="shared" si="3"/>
        <v>0</v>
      </c>
      <c r="AG14" s="1211">
        <f t="shared" si="3"/>
        <v>0</v>
      </c>
      <c r="AH14" s="1211">
        <f t="shared" si="3"/>
        <v>0</v>
      </c>
      <c r="AI14" s="1211">
        <f t="shared" si="3"/>
        <v>0</v>
      </c>
      <c r="AJ14" s="1211">
        <f t="shared" si="3"/>
        <v>42</v>
      </c>
      <c r="AK14" s="1211">
        <f t="shared" si="3"/>
        <v>51</v>
      </c>
      <c r="AL14" s="1211">
        <f t="shared" si="3"/>
        <v>0</v>
      </c>
      <c r="AM14" s="1211">
        <f t="shared" si="3"/>
        <v>0</v>
      </c>
      <c r="AN14" s="1211">
        <f t="shared" si="3"/>
        <v>0</v>
      </c>
      <c r="AO14" s="1203">
        <f>IF(ISNUMBER(((NºAsuntos!I14/NºAsuntos!G14)*11)/factor_trimestre),((NºAsuntos!I14/NºAsuntos!G14)*11)/factor_trimestre," - ")</f>
        <v>10.534351145038167</v>
      </c>
      <c r="AP14" s="1213" t="str">
        <f>IF(ISNUMBER(Datos!CI14/Datos!CJ14),Datos!CI14/Datos!CJ14," - ")</f>
        <v xml:space="preserve"> - </v>
      </c>
      <c r="AQ14" s="1236">
        <f t="shared" ref="AQ14:AV14" si="4">SUBTOTAL(9,AQ9:AQ13)</f>
        <v>0</v>
      </c>
      <c r="AR14" s="1236">
        <f t="shared" si="4"/>
        <v>0.2857142857142857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87</v>
      </c>
      <c r="G17" s="552">
        <f>IF(ISNUMBER(IF(D_I="SI",Datos!I17,Datos!I17+Datos!AC17)),IF(D_I="SI",Datos!I17,Datos!I17+Datos!AC17)," - ")</f>
        <v>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v>
      </c>
      <c r="Z17" s="805">
        <f>IF(ISNUMBER(Datos!Q17),Datos!Q17," - ")</f>
        <v>8</v>
      </c>
      <c r="AA17" s="551">
        <f>IF(ISNUMBER(IF(D_I="SI",Datos!L17,Datos!L17+Datos!AF17)),IF(D_I="SI",Datos!L17,Datos!L17+Datos!AF17)," - ")</f>
        <v>70</v>
      </c>
      <c r="AB17" s="549"/>
      <c r="AC17" s="549"/>
      <c r="AD17" s="563"/>
      <c r="AE17" s="563">
        <f>IF(ISNUMBER(Datos!R17),Datos!R17," - ")</f>
        <v>16</v>
      </c>
      <c r="AF17" s="693" t="str">
        <f>IF(ISNUMBER(Datos!BV17),Datos!BV17," - ")</f>
        <v xml:space="preserve"> - </v>
      </c>
      <c r="AG17" s="552"/>
      <c r="AH17" s="553"/>
      <c r="AI17" s="554"/>
      <c r="AJ17" s="552">
        <f>IF(ISNUMBER(Datos!M17),Datos!M17," - ")</f>
        <v>33</v>
      </c>
      <c r="AK17" s="693">
        <f>IF(ISNUMBER(Datos!N17),Datos!N17," - ")</f>
        <v>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1.5671641791044775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0.66666666666666663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87</v>
      </c>
      <c r="G23" s="1197">
        <f>SUBTOTAL(9,G16:G22)</f>
        <v>91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v>
      </c>
      <c r="Z23" s="1240">
        <f t="shared" si="6"/>
        <v>8</v>
      </c>
      <c r="AA23" s="1240">
        <f t="shared" si="6"/>
        <v>74</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42</v>
      </c>
      <c r="AK23" s="1240">
        <f t="shared" si="6"/>
        <v>72</v>
      </c>
      <c r="AL23" s="1240">
        <f t="shared" si="6"/>
        <v>0</v>
      </c>
      <c r="AM23" s="1240">
        <f t="shared" si="6"/>
        <v>0</v>
      </c>
      <c r="AN23" s="1240">
        <f t="shared" si="6"/>
        <v>0</v>
      </c>
      <c r="AO23" s="1242">
        <f>IF(ISNUMBER(((NºAsuntos!I23/NºAsuntos!G23)*11)/factor_trimestre),((NºAsuntos!I23/NºAsuntos!G23)*11)/factor_trimestre," - ")</f>
        <v>1.4605263157894739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87</v>
      </c>
      <c r="G31" s="1117">
        <f t="shared" si="12"/>
        <v>91</v>
      </c>
      <c r="H31" s="1118">
        <f t="shared" si="12"/>
        <v>0</v>
      </c>
      <c r="I31" s="1117">
        <f t="shared" si="12"/>
        <v>0</v>
      </c>
      <c r="J31" s="1119">
        <f t="shared" si="12"/>
        <v>0</v>
      </c>
      <c r="K31" s="1117">
        <f t="shared" si="12"/>
        <v>0</v>
      </c>
      <c r="L31" s="1120">
        <f t="shared" si="12"/>
        <v>0</v>
      </c>
      <c r="M31" s="1117">
        <f t="shared" si="12"/>
        <v>0</v>
      </c>
      <c r="N31" s="1118">
        <f t="shared" si="12"/>
        <v>155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152</v>
      </c>
      <c r="Z31" s="1124">
        <f t="shared" si="13"/>
        <v>57</v>
      </c>
      <c r="AA31" s="1125">
        <f t="shared" si="13"/>
        <v>77</v>
      </c>
      <c r="AB31" s="1125">
        <f t="shared" si="13"/>
        <v>0</v>
      </c>
      <c r="AC31" s="1125">
        <f t="shared" si="13"/>
        <v>0</v>
      </c>
      <c r="AD31" s="1126">
        <f t="shared" si="13"/>
        <v>0</v>
      </c>
      <c r="AE31" s="1126">
        <f t="shared" si="13"/>
        <v>467</v>
      </c>
      <c r="AF31" s="1127">
        <f t="shared" si="13"/>
        <v>0</v>
      </c>
      <c r="AG31" s="1128">
        <f t="shared" si="13"/>
        <v>0</v>
      </c>
      <c r="AH31" s="1129">
        <f t="shared" si="13"/>
        <v>0</v>
      </c>
      <c r="AI31" s="1127">
        <f t="shared" si="13"/>
        <v>0</v>
      </c>
      <c r="AJ31" s="1117">
        <f t="shared" si="13"/>
        <v>84</v>
      </c>
      <c r="AK31" s="1117">
        <f t="shared" si="13"/>
        <v>123</v>
      </c>
      <c r="AL31" s="1117">
        <f t="shared" si="13"/>
        <v>0</v>
      </c>
      <c r="AM31" s="1130">
        <f t="shared" si="13"/>
        <v>0</v>
      </c>
      <c r="AN31" s="1120">
        <f>IF(ISNUMBER(Datos!K31/Datos!J31),Datos!K31/Datos!J31," - ")</f>
        <v>0.53292181069958844</v>
      </c>
      <c r="AO31" s="1120">
        <f>IF(ISNUMBER(FIND("06",Criterios!A8,1)),(IF(ISNUMBER(((Datos!R31/Datos!Q31)*11)/factor_trimestre),((Datos!R31/Datos!Q31)*11)/factor_trimestre," - ")),(IF(ISNUMBER(((Datos!L31/Datos!K31)*11)/factor_trimestre),((Datos!L31/Datos!K31)*11)/factor_trimestre," - ")))</f>
        <v>5.9073359073359075</v>
      </c>
      <c r="AP31" s="1131" t="str">
        <f>IF(ISNUMBER(Datos!CI31/Datos!CJ31),Datos!CI31/Datos!CJ31," - ")</f>
        <v xml:space="preserve"> - </v>
      </c>
      <c r="AQ31" s="1131">
        <f>IF(OR(ISNUMBER(FIND("01",Criterios!A8,1)),ISNUMBER(FIND("02",Criterios!A8,1)),ISNUMBER(FIND("03",Criterios!A8,1)),ISNUMBER(FIND("04",Criterios!A8,1))),(J31-Y31+K31)/(F31-K31),(I31-Y31+K31)/(F31-K31))</f>
        <v>-1.7471264367816093</v>
      </c>
      <c r="AR31" s="1131">
        <f>IF(ISNUMBER((Datos!P31-Datos!Q31+O31)/(Datos!R31-Datos!P31+Datos!Q31-O31)),(Datos!P31-Datos!Q31+O31)/(Datos!R31-Datos!P31+Datos!Q31-O31)," - ")</f>
        <v>0.26558265582655827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44.926606816006036</v>
      </c>
      <c r="G33" s="674">
        <f>IF(ISNUMBER(STDEV(G8:G30)),STDEV(G8:G30),"-")</f>
        <v>43.077449630481453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20.472978707136321</v>
      </c>
      <c r="AK33" s="276"/>
      <c r="AL33" s="276">
        <f>IF(ISNUMBER(STDEV(AL8:AL30)),STDEV(AL8:AL30),"-")</f>
        <v>0</v>
      </c>
      <c r="AM33" s="278">
        <f>IF(ISNUMBER(STDEV(AM8:AM30)),STDEV(AM8:AM30),"-")</f>
        <v>0</v>
      </c>
      <c r="AN33" s="660">
        <f>IF(ISNUMBER(STDEV(AN8:AN30)),STDEV(AN8:AN30),"-")</f>
        <v>0</v>
      </c>
      <c r="AO33" s="661">
        <f>IF(ISNUMBER(STDEV(AO8:AO30)),STDEV(AO8:AO30),"-")</f>
        <v>5.088557998235185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ulOeSs/cZDtkZTKpERbb/BCCXSlXc+diaWy6EFC1/9bHKPmpHMhDBQ78KNdWUAeMPP3aAkR+jteRfaJZENPZQ==" saltValue="xBzzgr3kb3+FIhv5aQub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8q7iTmEkHklUC31krkavEYZhWE3QlU8Vf5uqxwRW86YPyD/DOzvOuQ8S13YEedbnIDJmC+OOoprtBwS6CTvTw==" saltValue="+Dr0zEiyTtvYZzPntgzr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mkUP1EImF/okCW87BIPUjtF4RPuRlpJtRJoCH0R8uAdLP9UC1dVkqSkZLU3JJX17pKsMix4o7k3F4ByaCUXA==" saltValue="KfW1uv6KMPQCGERFDTEj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PRIEGO DE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0.32061068702290074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0.22670599091477095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JAFNgrfLif2dJ3XIRIdsfuPyElqhjIfmAJ75tcoBKy/rNTWhscs6tnu6Wf3TphiBjLZ6A87wKrFP9AjXCtTuQ==" saltValue="GeCNfKrU5CEh+wz2eOOu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eNGTibzq77ucVxWGWsloK4+qBdBdENnfx+uSiXryIXK2pDdVaRtAWkdKZUMLAbBLe5P2/S82gbrNxtYNGCdQQ==" saltValue="VC1NLMKcLksDG3TF2AvO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PRIEGO DE CORDOBA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206</v>
      </c>
      <c r="D12" s="452">
        <f>IF(ISNUMBER(C12/Datos!BH12),C12/Datos!BH12," - ")</f>
        <v>206</v>
      </c>
      <c r="E12" s="451">
        <f>IF(ISNUMBER(IF(J_V="SI",Datos!J12,Datos!J12+Datos!Z12)),IF(J_V="SI",Datos!J12,Datos!J12+Datos!Z12)," - ")</f>
        <v>382</v>
      </c>
      <c r="F12" s="452">
        <f>IF(ISNUMBER(E12/B12),E12/B12," - ")</f>
        <v>382</v>
      </c>
      <c r="G12" s="451">
        <f>IF(ISNUMBER(IF(J_V="SI",Datos!K12,Datos!K12+Datos!AA12)),IF(J_V="SI",Datos!K12,Datos!K12+Datos!AA12)," - ")</f>
        <v>131</v>
      </c>
      <c r="H12" s="452">
        <f>IF(ISNUMBER(G12/B12),G12/B12," - ")</f>
        <v>131</v>
      </c>
      <c r="I12" s="451">
        <f>IF(ISNUMBER(IF(J_V="SI",Datos!L12,Datos!L12+Datos!AB12)),IF(J_V="SI",Datos!L12,Datos!L12+Datos!AB12)," - ")</f>
        <v>457</v>
      </c>
      <c r="J12" s="452">
        <f>IF(ISNUMBER(I12/B12),I12/B12," - ")</f>
        <v>457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206</v>
      </c>
      <c r="D14" s="1147" t="str">
        <f>IF(ISNUMBER(C14/Datos!BI14),C14/Datos!BI14," - ")</f>
        <v xml:space="preserve"> - </v>
      </c>
      <c r="E14" s="1146">
        <f>SUBTOTAL(9,E8:E13)</f>
        <v>385</v>
      </c>
      <c r="F14" s="1147">
        <f>IF(ISNUMBER(E14/B14),E14/B14," - ")</f>
        <v>385</v>
      </c>
      <c r="G14" s="1146">
        <f>SUBTOTAL(9,G8:G13)</f>
        <v>131</v>
      </c>
      <c r="H14" s="1147">
        <f>IF(ISNUMBER(G14/B14),G14/B14," - ")</f>
        <v>131</v>
      </c>
      <c r="I14" s="1146">
        <f>SUBTOTAL(9,I8:I13)</f>
        <v>460</v>
      </c>
      <c r="J14" s="1147">
        <f>IF(ISNUMBER(I14/B14),I14/B14," - ")</f>
        <v>460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87</v>
      </c>
      <c r="D17" s="452">
        <f>IF(ISNUMBER(C17/Datos!BH17),C17/Datos!BH17," - ")</f>
        <v>87</v>
      </c>
      <c r="E17" s="451">
        <f>IF(ISNUMBER(IF(D_I="SI",Datos!J17,Datos!J17+Datos!AD17)),IF(D_I="SI",Datos!J17,Datos!J17+Datos!AD17)," - ")</f>
        <v>117</v>
      </c>
      <c r="F17" s="452">
        <f>IF(ISNUMBER(E17/B17),E17/B17," - ")</f>
        <v>117</v>
      </c>
      <c r="G17" s="451">
        <f>IF(ISNUMBER(IF(D_I="SI",Datos!K17,Datos!K17+Datos!AE17)),IF(D_I="SI",Datos!K17,Datos!K17+Datos!AE17)," - ")</f>
        <v>134</v>
      </c>
      <c r="H17" s="452">
        <f>IF(ISNUMBER(G17/B17),G17/B17," - ")</f>
        <v>134</v>
      </c>
      <c r="I17" s="451">
        <f>IF(ISNUMBER(IF(D_I="SI",Datos!L17,Datos!L17+Datos!AF17)),IF(D_I="SI",Datos!L17,Datos!L17+Datos!AF17)," - ")</f>
        <v>70</v>
      </c>
      <c r="J17" s="452">
        <f>IF(ISNUMBER(I17/B17),I17/B17," - ")</f>
        <v>70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91</v>
      </c>
      <c r="D23" s="1147" t="str">
        <f>IF(ISNUMBER(C23/Datos!BI23),C23/Datos!BI23," - ")</f>
        <v xml:space="preserve"> - </v>
      </c>
      <c r="E23" s="1146">
        <f>SUBTOTAL(9,E15:E22)</f>
        <v>135</v>
      </c>
      <c r="F23" s="1147">
        <f>IF(ISNUMBER(E23/B23),E23/B23," - ")</f>
        <v>135</v>
      </c>
      <c r="G23" s="1146">
        <f>SUBTOTAL(9,G15:G22)</f>
        <v>152</v>
      </c>
      <c r="H23" s="1147">
        <f>IF(ISNUMBER(G23/B23),G23/B23," - ")</f>
        <v>152</v>
      </c>
      <c r="I23" s="1146">
        <f>SUBTOTAL(9,I15:I22)</f>
        <v>74</v>
      </c>
      <c r="J23" s="1147">
        <f>IF(ISNUMBER(I23/B23),I23/B23," - ")</f>
        <v>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297</v>
      </c>
      <c r="D31" s="1085" t="str">
        <f>IF(ISNUMBER(C31/Datos!BI31),C31/Datos!BI31," - ")</f>
        <v xml:space="preserve"> - </v>
      </c>
      <c r="E31" s="1084">
        <f>SUBTOTAL(9,E9:E30)</f>
        <v>520</v>
      </c>
      <c r="F31" s="1085">
        <f>IF(ISNUMBER(E31/B31),E31/B31," - ")</f>
        <v>520</v>
      </c>
      <c r="G31" s="1084">
        <f>SUBTOTAL(9,G9:G30)</f>
        <v>283</v>
      </c>
      <c r="H31" s="1085">
        <f>IF(ISNUMBER(G31/B31),G31/B31," - ")</f>
        <v>283</v>
      </c>
      <c r="I31" s="1084">
        <f>SUBTOTAL(9,I9:I30)</f>
        <v>534</v>
      </c>
      <c r="J31" s="1085">
        <f>IF(ISNUMBER(I31/B31),I31/B31," - ")</f>
        <v>534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kQqzhE4bKmN70QqJBkXh+Ok/hOcSiNONLOdAdWTM8JFE4AI6cBWMicyHvWxdcMQ/KHBzzAMSZ6zP4mGXrxqBQ==" saltValue="GD4+67bdgG+YeAXc84Z/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PRIEGO DE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10.465648854961833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0.2857142857142857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v>
      </c>
      <c r="AE14" s="1257">
        <f t="shared" si="1"/>
        <v>0</v>
      </c>
      <c r="AF14" s="1257">
        <f t="shared" si="1"/>
        <v>3</v>
      </c>
      <c r="AG14" s="1257">
        <f t="shared" si="1"/>
        <v>0</v>
      </c>
      <c r="AH14" s="1257">
        <f t="shared" si="1"/>
        <v>450</v>
      </c>
      <c r="AI14" s="1257">
        <f t="shared" si="1"/>
        <v>0</v>
      </c>
      <c r="AJ14" s="1257">
        <f t="shared" si="1"/>
        <v>0</v>
      </c>
      <c r="AK14" s="1257">
        <f t="shared" si="1"/>
        <v>0</v>
      </c>
      <c r="AL14" s="1257">
        <f t="shared" si="1"/>
        <v>42</v>
      </c>
      <c r="AM14" s="1257">
        <f t="shared" si="1"/>
        <v>51</v>
      </c>
      <c r="AN14" s="1257">
        <f t="shared" si="1"/>
        <v>0</v>
      </c>
      <c r="AO14" s="1257">
        <f t="shared" si="1"/>
        <v>0</v>
      </c>
      <c r="AP14" s="1262">
        <f>IF(ISNUMBER(((Datos!L14/Datos!K14)*11)/factor_trimestre),((Datos!L14/Datos!K14)*11)/factor_trimestre," - ")</f>
        <v>12.224299065420562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0.2857142857142857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1.4605263157894739</v>
      </c>
      <c r="AQ23" s="1262">
        <f>IF(ISNUMBER(((Datos!M23/Datos!L23)*11)/factor_trimestre),((Datos!M23/Datos!L23)*11)/factor_trimestre," - ")</f>
        <v>1.7027027027027026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-0.10112359550561797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v>
      </c>
      <c r="AE31" s="1284">
        <f t="shared" si="9"/>
        <v>0</v>
      </c>
      <c r="AF31" s="1285">
        <f t="shared" si="9"/>
        <v>3</v>
      </c>
      <c r="AG31" s="1285">
        <f t="shared" si="9"/>
        <v>0</v>
      </c>
      <c r="AH31" s="1285">
        <f t="shared" si="9"/>
        <v>450</v>
      </c>
      <c r="AI31" s="1285">
        <f t="shared" si="9"/>
        <v>0</v>
      </c>
      <c r="AJ31" s="1286">
        <f t="shared" si="9"/>
        <v>0</v>
      </c>
      <c r="AK31" s="1286">
        <f t="shared" si="9"/>
        <v>0</v>
      </c>
      <c r="AL31" s="1278">
        <f t="shared" si="9"/>
        <v>42</v>
      </c>
      <c r="AM31" s="1278">
        <f t="shared" si="9"/>
        <v>51</v>
      </c>
      <c r="AN31" s="1278">
        <f t="shared" si="9"/>
        <v>0</v>
      </c>
      <c r="AO31" s="1278">
        <f t="shared" si="9"/>
        <v>0</v>
      </c>
      <c r="AP31" s="1278">
        <f>IF(ISNUMBER(((Datos!L31/Datos!K31)*11)/factor_trimestre),((Datos!L31/Datos!K31)*11)/factor_trimestre," - ")</f>
        <v>5.9073359073359075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0.26558265582655827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5.7741361015300754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YH+4W8KXx8o81XrYk6bk8QLANSoNMJWLCbQS2irTOAUcXZEDlMPHHIY2doaDH0Q1HxGkm/T/2kMdgODp1Vk3A==" saltValue="8t/JmCXfsUhEkNx9hug5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PRIEGO DE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ymhrRGlpBIXmQriBUsts3zQw/tujRD74EfFNVSVkk/mjJnsr/m0HN3otf+zJ/W9847+a/DA9d8dyuXYttcbCg==" saltValue="XgsBRy7hxIoA2zXgFYXo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PRIEGO DE CORDOBA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51</v>
      </c>
      <c r="G12" s="452">
        <f t="shared" si="1"/>
        <v>51</v>
      </c>
      <c r="H12" s="451">
        <f>IF(ISNUMBER(Datos!O12),Datos!O12," - ")</f>
        <v>51</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51</v>
      </c>
      <c r="G14" s="1147">
        <f t="shared" si="1"/>
        <v>25.5</v>
      </c>
      <c r="H14" s="1146">
        <f>SUBTOTAL(9,H9:H13)</f>
        <v>51</v>
      </c>
      <c r="I14" s="1147">
        <f>IF(ISNUMBER(H14/B14),H14/B14," - ")</f>
        <v>25.5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62</v>
      </c>
      <c r="G17" s="452">
        <f t="shared" si="4"/>
        <v>62</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42</v>
      </c>
      <c r="E23" s="1147">
        <f t="shared" si="3"/>
        <v>21</v>
      </c>
      <c r="F23" s="1146">
        <f>SUBTOTAL(9,F16:F22)</f>
        <v>72</v>
      </c>
      <c r="G23" s="1147">
        <f t="shared" si="4"/>
        <v>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84</v>
      </c>
      <c r="E31" s="1085">
        <f>IF(ISNUMBER(D31/B31),D31/B31," - ")</f>
        <v>84</v>
      </c>
      <c r="F31" s="1084">
        <f>SUBTOTAL(9,F8:F30)</f>
        <v>123</v>
      </c>
      <c r="G31" s="1085">
        <f>IF(ISNUMBER(F31/B31),F31/B31," - ")</f>
        <v>123</v>
      </c>
      <c r="H31" s="1084">
        <f>SUBTOTAL(9,H8:H30)</f>
        <v>51</v>
      </c>
      <c r="I31" s="1085">
        <f>IF(ISNUMBER(H31/B31),H31/B31," - ")</f>
        <v>51</v>
      </c>
    </row>
    <row r="34" spans="1:1">
      <c r="A34" s="439" t="str">
        <f>Criterios!A4</f>
        <v>Fecha Informe: 05 may. 2023</v>
      </c>
    </row>
    <row r="39" spans="1:1">
      <c r="A39" s="462"/>
    </row>
  </sheetData>
  <sheetProtection algorithmName="SHA-512" hashValue="AbYIoH74/d6nrj366XEjN/XuQigHiS/cPgPHWw/ftENPeVrfziSBOJ9BP2fHjWvq0wtSwHdFGC84Lx4S50KOHA==" saltValue="4VQ1oEyLLeHeU6c/Zd5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PRIEGO DE CORDOBA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v>
      </c>
      <c r="C12" s="489">
        <f>IF(ISNUMBER(Datos!Q12),Datos!Q12," - ")</f>
        <v>49</v>
      </c>
      <c r="D12" s="456">
        <f>IF(ISNUMBER(Datos!R12),Datos!R12," - ")</f>
        <v>450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49</v>
      </c>
      <c r="D14" s="1148">
        <f>SUBTOTAL(9,D9:D13)</f>
        <v>450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8</v>
      </c>
      <c r="D17" s="456">
        <f>IF(ISNUMBER(Datos!R17),Datos!R17," - ")</f>
        <v>16</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8</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155</v>
      </c>
      <c r="C31" s="1089">
        <f>SUBTOTAL(9,C8:C30)</f>
        <v>57</v>
      </c>
      <c r="D31" s="1090">
        <f>SUBTOTAL(9,D8:D30)</f>
        <v>467</v>
      </c>
    </row>
    <row r="32" spans="1:4" ht="7.5" customHeight="1"/>
    <row r="33" spans="1:1" ht="6" customHeight="1"/>
    <row r="34" spans="1:1">
      <c r="A34" s="439" t="str">
        <f>Criterios!A4</f>
        <v>Fecha Informe: 05 may. 2023</v>
      </c>
    </row>
    <row r="39" spans="1:1">
      <c r="A39" s="462"/>
    </row>
  </sheetData>
  <sheetProtection algorithmName="SHA-512" hashValue="KVAoL3EmXnWEEO6x69L9d73IL8BwsmqtVG/5BnaWNWYw2vIKTR+8KapCJhH0wx1nGigJSBluCmhe5kYvnPDKLw==" saltValue="9eGSviuhGl9ihZ0EAwVE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PRIEGO DE CORDOBA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-0.45358090185676392</v>
      </c>
      <c r="C12" s="515">
        <f>IF(ISNUMBER(
   IF(J_V="SI",(Datos!J12-Datos!T12)/Datos!T12,(Datos!J12+Datos!Z12-(Datos!T12+Datos!AH12))/(Datos!T12+Datos!AH12))
     ),IF(J_V="SI",(Datos!J12-Datos!T12)/Datos!T12,(Datos!J12+Datos!Z12-(Datos!T12+Datos!AH12))/(Datos!T12+Datos!AH12))," - ")</f>
        <v>1.343558282208589</v>
      </c>
      <c r="D12" s="515">
        <f>IF(ISNUMBER(
   IF(J_V="SI",(Datos!K12-Datos!U12)/Datos!U12,(Datos!K12+Datos!AA12-(Datos!U12+Datos!AI12))/(Datos!U12+Datos!AI12))
     ),IF(J_V="SI",(Datos!K12-Datos!U12)/Datos!U12,(Datos!K12+Datos!AA12-(Datos!U12+Datos!AI12))/(Datos!U12+Datos!AI12))," - ")</f>
        <v>-0.31052631578947371</v>
      </c>
      <c r="E12" s="515">
        <f>IF(ISNUMBER(
   IF(J_V="SI",(Datos!L12-Datos!V12)/Datos!V12,(Datos!L12+Datos!AB12-(Datos!V12+Datos!AJ12))/(Datos!V12+Datos!AJ12))
     ),IF(J_V="SI",(Datos!L12-Datos!V12)/Datos!V12,(Datos!L12+Datos!AB12-(Datos!V12+Datos!AJ12))/(Datos!V12+Datos!AJ12))," - ")</f>
        <v>0.30571428571428572</v>
      </c>
      <c r="F12" s="515">
        <f>IF(ISNUMBER((Datos!M12-Datos!W12)/Datos!W12),(Datos!M12-Datos!W12)/Datos!W12," - ")</f>
        <v>0.05</v>
      </c>
      <c r="G12" s="516">
        <f>IF(ISNUMBER((Datos!N12-Datos!X12)/Datos!X12),(Datos!N12-Datos!X12)/Datos!X12," - ")</f>
        <v>1.6842105263157894</v>
      </c>
      <c r="H12" s="514">
        <f>IF(ISNUMBER(((NºAsuntos!G12/NºAsuntos!E12)-Datos!BD12)/Datos!BD12),((NºAsuntos!G12/NºAsuntos!E12)-Datos!BD12)/Datos!BD12," - ")</f>
        <v>-0.70580049600440897</v>
      </c>
      <c r="I12" s="515">
        <f>IF(ISNUMBER(((NºAsuntos!I12/NºAsuntos!G12)-Datos!BE12)/Datos!BE12),((NºAsuntos!I12/NºAsuntos!G12)-Datos!BE12)/Datos!BE12," - ")</f>
        <v>0.893784078516903</v>
      </c>
      <c r="J12" s="521">
        <f>IF(ISNUMBER((('Resol  Asuntos'!D12/NºAsuntos!G12)-Datos!BF12)/Datos!BF12),(('Resol  Asuntos'!D12/NºAsuntos!G12)-Datos!BF12)/Datos!BF12," - ")</f>
        <v>2.2061068702290072</v>
      </c>
      <c r="K12" s="522">
        <f>IF(ISNUMBER((((NºAsuntos!C12+NºAsuntos!E12)/NºAsuntos!G12)-Datos!BG12)/Datos!BG12),(((NºAsuntos!C12+NºAsuntos!E12)/NºAsuntos!G12)-Datos!BG12)/Datos!BG12," - ")</f>
        <v>0.5793044953350297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-0.45358090185676392</v>
      </c>
      <c r="C14" s="1152">
        <f>IF(ISNUMBER(
   IF(J_V="SI",(Datos!J14-Datos!T14)/Datos!T14,(Datos!J14+Datos!Z14-(Datos!T14+Datos!AH14))/(Datos!T14+Datos!AH14))
     ),IF(J_V="SI",(Datos!J14-Datos!T14)/Datos!T14,(Datos!J14+Datos!Z14-(Datos!T14+Datos!AH14))/(Datos!T14+Datos!AH14))," - ")</f>
        <v>1.361963190184049</v>
      </c>
      <c r="D14" s="1152">
        <f>IF(ISNUMBER(
   IF(J_V="SI",(Datos!K14-Datos!U14)/Datos!U14,(Datos!K14+Datos!AA14-(Datos!U14+Datos!AI14))/(Datos!U14+Datos!AI14))
     ),IF(J_V="SI",(Datos!K14-Datos!U14)/Datos!U14,(Datos!K14+Datos!AA14-(Datos!U14+Datos!AI14))/(Datos!U14+Datos!AI14))," - ")</f>
        <v>-0.31052631578947371</v>
      </c>
      <c r="E14" s="1152">
        <f>IF(ISNUMBER(
   IF(J_V="SI",(Datos!L14-Datos!V14)/Datos!V14,(Datos!L14+Datos!AB14-(Datos!V14+Datos!AJ14))/(Datos!V14+Datos!AJ14))
     ),IF(J_V="SI",(Datos!L14-Datos!V14)/Datos!V14,(Datos!L14+Datos!AB14-(Datos!V14+Datos!AJ14))/(Datos!V14+Datos!AJ14))," - ")</f>
        <v>0.31428571428571428</v>
      </c>
      <c r="F14" s="1153">
        <f>IF(ISNUMBER((Datos!M14-Datos!W14)/Datos!W14),(Datos!M14-Datos!W14)/Datos!W14," - ")</f>
        <v>0.05</v>
      </c>
      <c r="G14" s="1154">
        <f>IF(ISNUMBER((Datos!N14-Datos!X14)/Datos!X14),(Datos!N14-Datos!X14)/Datos!X14," - ")</f>
        <v>1.6842105263157894</v>
      </c>
      <c r="H14" s="1154">
        <f>IF(ISNUMBER(((NºAsuntos!G14/NºAsuntos!E14)-Datos!BD14)/Datos!BD14),((NºAsuntos!G14/NºAsuntos!E14)-Datos!BD14)/Datos!BD14," - ")</f>
        <v>-0.708092959671907</v>
      </c>
      <c r="I14" s="1154">
        <f>IF(ISNUMBER(((NºAsuntos!I14/NºAsuntos!G14)-Datos!BE14)/Datos!BE14),((NºAsuntos!I14/NºAsuntos!G14)-Datos!BE14)/Datos!BE14," - ")</f>
        <v>0.90621592148309715</v>
      </c>
      <c r="J14" s="1154">
        <f>IF(ISNUMBER((('Resol  Asuntos'!D14/NºAsuntos!G14)-Datos!BF14)/Datos!BF14),(('Resol  Asuntos'!D14/NºAsuntos!G14)-Datos!BF14)/Datos!BF14," - ")</f>
        <v>2.2061068702290072</v>
      </c>
      <c r="K14" s="1154">
        <f>IF(ISNUMBER((((NºAsuntos!C14+NºAsuntos!E14)/NºAsuntos!G14)-Datos!BG14)/Datos!BG14),(((NºAsuntos!C14+NºAsuntos!E14)/NºAsuntos!G14)-Datos!BG14)/Datos!BG14," - ")</f>
        <v>0.58736217133163704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0.14473684210526316</v>
      </c>
      <c r="C17" s="515">
        <f>IF(ISNUMBER(
   IF(D_I="SI",(Datos!J17-Datos!T17)/Datos!T17,(Datos!J17+Datos!AD17-(Datos!T17+Datos!AL17))/(Datos!T17+Datos!AL17))
     ),IF(D_I="SI",(Datos!J17-Datos!T17)/Datos!T17,(Datos!J17+Datos!AD17-(Datos!T17+Datos!AL17))/(Datos!T17+Datos!AL17))," - ")</f>
        <v>-0.1702127659574468</v>
      </c>
      <c r="D17" s="515">
        <f>IF(ISNUMBER(
   IF(D_I="SI",(Datos!K17-Datos!U17)/Datos!U17,(Datos!K17+Datos!AE17-(Datos!U17+Datos!AM17))/(Datos!U17+Datos!AM17))
     ),IF(D_I="SI",(Datos!K17-Datos!U17)/Datos!U17,(Datos!K17+Datos!AE17-(Datos!U17+Datos!AM17))/(Datos!U17+Datos!AM17))," - ")</f>
        <v>-2.8985507246376812E-2</v>
      </c>
      <c r="E17" s="515">
        <f>IF(ISNUMBER(
   IF(D_I="SI",(Datos!L17-Datos!V17)/Datos!V17,(Datos!L17+Datos!AF17-(Datos!V17+Datos!AN17))/(Datos!V17+Datos!AN17))
     ),IF(D_I="SI",(Datos!L17-Datos!V17)/Datos!V17,(Datos!L17+Datos!AF17-(Datos!V17+Datos!AN17))/(Datos!V17+Datos!AN17))," - ")</f>
        <v>-0.13580246913580246</v>
      </c>
      <c r="F17" s="515">
        <f>IF(ISNUMBER((Datos!M17-Datos!W17)/Datos!W17),(Datos!M17-Datos!W17)/Datos!W17," - ")</f>
        <v>0.5</v>
      </c>
      <c r="G17" s="516">
        <f>IF(ISNUMBER((Datos!N17-Datos!X17)/Datos!X17),(Datos!N17-Datos!X17)/Datos!X17," - ")</f>
        <v>-0.31111111111111112</v>
      </c>
      <c r="H17" s="514">
        <f>IF(ISNUMBER(((NºAsuntos!G17/NºAsuntos!E17)-Datos!BD17)/Datos!BD17),((NºAsuntos!G17/NºAsuntos!E17)-Datos!BD17)/Datos!BD17," - ")</f>
        <v>0.17019695280564842</v>
      </c>
      <c r="I17" s="515">
        <f>IF(ISNUMBER(((NºAsuntos!I17/NºAsuntos!G17)-Datos!BE17)/Datos!BE17),((NºAsuntos!I17/NºAsuntos!G17)-Datos!BE17)/Datos!BE17," - ")</f>
        <v>-0.11000552791597584</v>
      </c>
      <c r="J17" s="521">
        <f>IF(ISNUMBER((('Resol  Asuntos'!D17/NºAsuntos!G17)-Datos!BF17)/Datos!BF17),(('Resol  Asuntos'!D17/NºAsuntos!G17)-Datos!BF17)/Datos!BF17," - ")</f>
        <v>0.54477611940298509</v>
      </c>
      <c r="K17" s="522">
        <f>IF(ISNUMBER((((NºAsuntos!C17+NºAsuntos!E17)/NºAsuntos!G17)-Datos!BG17)/Datos!BG17),(((NºAsuntos!C17+NºAsuntos!E17)/NºAsuntos!G17)-Datos!BG17)/Datos!BG17," - ")</f>
        <v>-3.1845381387991013E-2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0.38461538461538464</v>
      </c>
      <c r="E18" s="515">
        <f>IF(ISNUMBER(
   IF(D_I="SI",(Datos!L18-Datos!V18)/Datos!V18,(Datos!L18+Datos!AF18-(Datos!V18+Datos!AN18))/(Datos!V18+Datos!AN18))
     ),IF(D_I="SI",(Datos!L18-Datos!V18)/Datos!V18,(Datos!L18+Datos!AF18-(Datos!V18+Datos!AN18))/(Datos!V18+Datos!AN18))," - ")</f>
        <v>0</v>
      </c>
      <c r="F18" s="515">
        <f>IF(ISNUMBER((Datos!M18-Datos!W18)/Datos!W18),(Datos!M18-Datos!W18)/Datos!W18," - ")</f>
        <v>3.5</v>
      </c>
      <c r="G18" s="516">
        <f>IF(ISNUMBER((Datos!N18-Datos!X18)/Datos!X18),(Datos!N18-Datos!X18)/Datos!X18," - ")</f>
        <v>1</v>
      </c>
      <c r="H18" s="514">
        <f>IF(ISNUMBER(((NºAsuntos!G18/NºAsuntos!E18)-Datos!BD18)/Datos!BD18),((NºAsuntos!G18/NºAsuntos!E18)-Datos!BD18)/Datos!BD18," - ")</f>
        <v>0</v>
      </c>
      <c r="I18" s="515">
        <f>IF(ISNUMBER(((NºAsuntos!I18/NºAsuntos!G18)-Datos!BE18)/Datos!BE18),((NºAsuntos!I18/NºAsuntos!G18)-Datos!BE18)/Datos!BE18," - ")</f>
        <v>-0.27777777777777785</v>
      </c>
      <c r="J18" s="521">
        <f>IF(ISNUMBER((('Resol  Asuntos'!D18/NºAsuntos!G18)-Datos!BF18)/Datos!BF18),(('Resol  Asuntos'!D18/NºAsuntos!G18)-Datos!BF18)/Datos!BF18," - ")</f>
        <v>2.25</v>
      </c>
      <c r="K18" s="522">
        <f>IF(ISNUMBER((((NºAsuntos!C18+NºAsuntos!E18)/NºAsuntos!G18)-Datos!BG18)/Datos!BG18),(((NºAsuntos!C18+NºAsuntos!E18)/NºAsuntos!G18)-Datos!BG18)/Datos!BG18," - ")</f>
        <v>-6.5359477124182941E-2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0.13750000000000001</v>
      </c>
      <c r="C23" s="1152">
        <f>IF(ISNUMBER(
   IF(Criterios!B14="SI",(Datos!J23-Datos!T23)/Datos!T23,(Datos!J23+Datos!AD23-(Datos!T23+Datos!AL23))/(Datos!T23+Datos!AL23))
     ),IF(Criterios!B14="SI",(Datos!J23-Datos!T23)/Datos!T23,(Datos!J23+Datos!AD23-(Datos!T23+Datos!AL23))/(Datos!T23+Datos!AL23))," - ")</f>
        <v>-0.12337662337662338</v>
      </c>
      <c r="D23" s="1152">
        <f>IF(ISNUMBER(
   IF(Criterios!B14="SI",(Datos!K23-Datos!U23)/Datos!U23,(Datos!K23+Datos!AE23-(Datos!U23+Datos!AM23))/(Datos!U23+Datos!AM23))
     ),IF(Criterios!B14="SI",(Datos!K23-Datos!U23)/Datos!U23,(Datos!K23+Datos!AE23-(Datos!U23+Datos!AM23))/(Datos!U23+Datos!AM23))," - ")</f>
        <v>6.6225165562913907E-3</v>
      </c>
      <c r="E23" s="1152">
        <f>IF(ISNUMBER(
   IF(Criterios!B14="SI",(Datos!L23-Datos!V23)/Datos!V23,(Datos!L23+Datos!AF23-(Datos!V23+Datos!AN23))/(Datos!V23+Datos!AN23))
     ),IF(Criterios!B14="SI",(Datos!L23-Datos!V23)/Datos!V23,(Datos!L23+Datos!AF23-(Datos!V23+Datos!AN23))/(Datos!V23+Datos!AN23))," - ")</f>
        <v>-0.12941176470588237</v>
      </c>
      <c r="F23" s="1153">
        <f>IF(ISNUMBER((Datos!M23-Datos!W23)/Datos!W23),(Datos!M23-Datos!W23)/Datos!W23," - ")</f>
        <v>0.75</v>
      </c>
      <c r="G23" s="1154">
        <f>IF(ISNUMBER((Datos!N23-Datos!X23)/Datos!X23),(Datos!N23-Datos!X23)/Datos!X23," - ")</f>
        <v>-0.24210526315789474</v>
      </c>
      <c r="H23" s="1154">
        <f>IF(ISNUMBER(((NºAsuntos!G23/NºAsuntos!E23)-Datos!BD23)/Datos!BD23),((NºAsuntos!G23/NºAsuntos!E23)-Datos!BD23)/Datos!BD23," - ")</f>
        <v>0.14829531518273242</v>
      </c>
      <c r="I23" s="1154">
        <f>IF(ISNUMBER(((NºAsuntos!I23/NºAsuntos!G23)-Datos!BE23)/Datos!BE23),((NºAsuntos!I23/NºAsuntos!G23)-Datos!BE23)/Datos!BE23," - ")</f>
        <v>-0.13513931888544886</v>
      </c>
      <c r="J23" s="1154">
        <f>IF(ISNUMBER((('Resol  Asuntos'!D23/NºAsuntos!G23)-Datos!BF23)/Datos!BF23),(('Resol  Asuntos'!D23/NºAsuntos!G23)-Datos!BF23)/Datos!BF23," - ")</f>
        <v>0.73848684210526327</v>
      </c>
      <c r="K23" s="1154">
        <f>IF(ISNUMBER((((NºAsuntos!C23+NºAsuntos!E23)/NºAsuntos!G23)-Datos!BG23)/Datos!BG23),(((NºAsuntos!C23+NºAsuntos!E23)/NºAsuntos!G23)-Datos!BG23)/Datos!BG23," - ")</f>
        <v>-4.0542060278902288E-2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-0.35010940919037198</v>
      </c>
      <c r="C31" s="1092">
        <f>IF(ISNUMBER(
   IF(J_V="SI",(Datos!J31-Datos!T31)/Datos!T31,(Datos!J31+Datos!Z31-(Datos!T31+Datos!AH31))/(Datos!T31+Datos!AH31))
     ),IF(J_V="SI",(Datos!J31-Datos!T31)/Datos!T31,(Datos!J31+Datos!Z31-(Datos!T31+Datos!AH31))/(Datos!T31+Datos!AH31))," - ")</f>
        <v>0.64037854889589907</v>
      </c>
      <c r="D31" s="1092">
        <f>IF(ISNUMBER(
   IF(J_V="SI",(Datos!K31-Datos!U31)/Datos!U31,(Datos!K31+Datos!AA31-(Datos!U31+Datos!AI31))/(Datos!U31+Datos!AI31))
     ),IF(J_V="SI",(Datos!K31-Datos!U31)/Datos!U31,(Datos!K31+Datos!AA31-(Datos!U31+Datos!AI31))/(Datos!U31+Datos!AI31))," - ")</f>
        <v>-0.17008797653958943</v>
      </c>
      <c r="E31" s="1092">
        <f>IF(ISNUMBER(
   IF(J_V="SI",(Datos!L31-Datos!V31)/Datos!V31,(Datos!L31+Datos!AB31-(Datos!V31+Datos!AJ31))/(Datos!V31+Datos!AJ31))
     ),IF(J_V="SI",(Datos!L31-Datos!V31)/Datos!V31,(Datos!L31+Datos!AB31-(Datos!V31+Datos!AJ31))/(Datos!V31+Datos!AJ31))," - ")</f>
        <v>0.22758620689655173</v>
      </c>
      <c r="F31" s="1093">
        <f>IF(ISNUMBER((Datos!M31-Datos!W31)/Datos!W31),(Datos!M31-Datos!W31)/Datos!W31," - ")</f>
        <v>0.3125</v>
      </c>
      <c r="G31" s="1094">
        <f>IF(ISNUMBER((Datos!N31-Datos!X31)/Datos!X31),(Datos!N31-Datos!X31)/Datos!X31," - ")</f>
        <v>7.8947368421052627E-2</v>
      </c>
      <c r="H31" s="1095">
        <f>IF(ISNUMBER((Tasas!B31-Datos!BD31)/Datos!BD31),(Tasas!B31-Datos!BD31)/Datos!BD31," - ")</f>
        <v>-0.49407286262124978</v>
      </c>
      <c r="I31" s="1096">
        <f>IF(ISNUMBER((Tasas!C31-Datos!BE31)/Datos!BE31),(Tasas!C31-Datos!BE31)/Datos!BE31," - ")</f>
        <v>0.47917631290361895</v>
      </c>
      <c r="J31" s="1097">
        <f>IF(ISNUMBER((Tasas!D31-Datos!BF31)/Datos!BF31),(Tasas!D31-Datos!BF31)/Datos!BF31," - ")</f>
        <v>1.3538499465855864</v>
      </c>
      <c r="K31" s="1097">
        <f>IF(ISNUMBER((Tasas!E31-Datos!BG31)/Datos!BG31),(Tasas!E31-Datos!BG31)/Datos!BG31," - ")</f>
        <v>0.27188849627012163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eGlua5HciAix+rUZ8ZwUGMqDXRn7ji1LFXBeiVn0N7rT8X9To5pf777KgqYiQK14W9lEKC1IbrdwrYtH7Xa/Q==" saltValue="Zi3KaMQv0XqOtb3oeDW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PRIEGO DE CORDOBA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0.34293193717277487</v>
      </c>
      <c r="C12" s="498">
        <f>IF(ISNUMBER(NºAsuntos!I12/NºAsuntos!G12),NºAsuntos!I12/NºAsuntos!G12," - ")</f>
        <v>3.4885496183206106</v>
      </c>
      <c r="D12" s="499">
        <f>IF(ISNUMBER('Resol  Asuntos'!D12/NºAsuntos!G12),'Resol  Asuntos'!D12/NºAsuntos!G12," - ")</f>
        <v>0.32061068702290074</v>
      </c>
      <c r="E12" s="500">
        <f>IF(ISNUMBER((NºAsuntos!C12+NºAsuntos!E12)/NºAsuntos!G12),(NºAsuntos!C12+NºAsuntos!E12)/NºAsuntos!G12," - ")</f>
        <v>4.4885496183206106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0.34025974025974026</v>
      </c>
      <c r="C14" s="1156">
        <f>IF(ISNUMBER(NºAsuntos!I14/NºAsuntos!G14),NºAsuntos!I14/NºAsuntos!G14," - ")</f>
        <v>3.5114503816793894</v>
      </c>
      <c r="D14" s="1157">
        <f>IF(ISNUMBER('Resol  Asuntos'!D14/NºAsuntos!G14),'Resol  Asuntos'!D14/NºAsuntos!G14," - ")</f>
        <v>0.32061068702290074</v>
      </c>
      <c r="E14" s="1158">
        <f>IF(ISNUMBER((NºAsuntos!C14+NºAsuntos!E14)/NºAsuntos!G14),(NºAsuntos!C14+NºAsuntos!E14)/NºAsuntos!G14," - ")</f>
        <v>4.5114503816793894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1.1452991452991452</v>
      </c>
      <c r="C17" s="498">
        <f>IF(ISNUMBER(NºAsuntos!I17/NºAsuntos!G17),NºAsuntos!I17/NºAsuntos!G17," - ")</f>
        <v>0.52238805970149249</v>
      </c>
      <c r="D17" s="499">
        <f>IF(ISNUMBER('Resol  Asuntos'!D17/NºAsuntos!G17),'Resol  Asuntos'!D17/NºAsuntos!G17," - ")</f>
        <v>0.2462686567164179</v>
      </c>
      <c r="E17" s="500">
        <f>IF(ISNUMBER((NºAsuntos!C17+NºAsuntos!E17)/NºAsuntos!G17),(NºAsuntos!C17+NºAsuntos!E17)/NºAsuntos!G17," - ")</f>
        <v>1.5223880597014925</v>
      </c>
      <c r="G17" s="523"/>
    </row>
    <row r="18" spans="1:7">
      <c r="A18" s="450" t="str">
        <f>Datos!A18</f>
        <v>Jdos. Violencia contra la mujer</v>
      </c>
      <c r="B18" s="497">
        <f>IF(ISNUMBER(NºAsuntos!G18/NºAsuntos!E18),NºAsuntos!G18/NºAsuntos!E18," - ")</f>
        <v>1</v>
      </c>
      <c r="C18" s="498">
        <f>IF(ISNUMBER(NºAsuntos!I18/NºAsuntos!G18),NºAsuntos!I18/NºAsuntos!G18," - ")</f>
        <v>0.22222222222222221</v>
      </c>
      <c r="D18" s="499">
        <f>IF(ISNUMBER('Resol  Asuntos'!D18/NºAsuntos!G18),'Resol  Asuntos'!D18/NºAsuntos!G18," - ")</f>
        <v>0.5</v>
      </c>
      <c r="E18" s="500">
        <f>IF(ISNUMBER((NºAsuntos!C18+NºAsuntos!E18)/NºAsuntos!G18),(NºAsuntos!C18+NºAsuntos!E18)/NºAsuntos!G18," - ")</f>
        <v>1.2222222222222223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1.125925925925926</v>
      </c>
      <c r="C23" s="1156">
        <f>IF(ISNUMBER(NºAsuntos!I23/NºAsuntos!G23),NºAsuntos!I23/NºAsuntos!G23," - ")</f>
        <v>0.48684210526315791</v>
      </c>
      <c r="D23" s="1159">
        <f>IF(ISNUMBER('Resol  Asuntos'!D23/NºAsuntos!G23),'Resol  Asuntos'!D23/NºAsuntos!G23," - ")</f>
        <v>0.27631578947368424</v>
      </c>
      <c r="E23" s="1158">
        <f>IF(ISNUMBER((NºAsuntos!C23+NºAsuntos!E23)/NºAsuntos!G23),(NºAsuntos!C23+NºAsuntos!E23)/NºAsuntos!G23," - ")</f>
        <v>1.486842105263158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0.54423076923076918</v>
      </c>
      <c r="C31" s="1099">
        <f>IF(ISNUMBER(NºAsuntos!I31/NºAsuntos!G31),NºAsuntos!I31/NºAsuntos!G31," - ")</f>
        <v>1.8869257950530036</v>
      </c>
      <c r="D31" s="1100">
        <f>IF(ISNUMBER('Resol  Asuntos'!D31/NºAsuntos!G31),'Resol  Asuntos'!D31/NºAsuntos!G31," - ")</f>
        <v>0.29681978798586572</v>
      </c>
      <c r="E31" s="1101">
        <f>IF(ISNUMBER((NºAsuntos!C31+NºAsuntos!E31)/NºAsuntos!G31),(NºAsuntos!C31+NºAsuntos!E31)/NºAsuntos!G31," - ")</f>
        <v>2.8869257950530036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ugyhiUfQzsM+pkm6m0VhtrnRb9z7Zhdn1dxQAGLiETL4olpOh+rafsIc3HytKyUZWg8C1mxilPIQOGraVivAQ==" saltValue="0Oil2JFDuDR09GoPD8q/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PRIEGO DE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0.34293193717277487</v>
      </c>
      <c r="AM12" s="284">
        <f>IF(ISNUMBER(((NºAsuntos!I12/NºAsuntos!G12)*11)/factor_trimestre),((NºAsuntos!I12/NºAsuntos!G12)*11)/factor_trimestre," - ")</f>
        <v>10.465648854961833</v>
      </c>
      <c r="AN12" s="267">
        <f>IF(ISNUMBER('Resol  Asuntos'!D12/NºAsuntos!G12),'Resol  Asuntos'!D12/NºAsuntos!G12," - ")</f>
        <v>0.32061068702290074</v>
      </c>
      <c r="AO12" s="268">
        <f>IF(ISNUMBER((NºAsuntos!C12+NºAsuntos!E12)/NºAsuntos!G12),(NºAsuntos!C12+NºAsuntos!E12)/NºAsuntos!G12," - ")</f>
        <v>4.4885496183206106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v>
      </c>
      <c r="Y14" s="1165">
        <f t="shared" si="6"/>
        <v>49</v>
      </c>
      <c r="Z14" s="1165">
        <f t="shared" si="6"/>
        <v>0</v>
      </c>
      <c r="AA14" s="1165">
        <f t="shared" si="6"/>
        <v>3</v>
      </c>
      <c r="AB14" s="1165">
        <f t="shared" si="6"/>
        <v>450</v>
      </c>
      <c r="AC14" s="1165">
        <f t="shared" si="6"/>
        <v>3</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0.34025974025974026</v>
      </c>
      <c r="AM14" s="1171">
        <f>IF(ISNUMBER(((NºAsuntos!I14/NºAsuntos!G14)*11)/factor_trimestre),((NºAsuntos!I14/NºAsuntos!G14)*11)/factor_trimestre," - ")</f>
        <v>10.534351145038167</v>
      </c>
      <c r="AN14" s="1172">
        <f>IF(ISNUMBER('Resol  Asuntos'!D14/NºAsuntos!G14),'Resol  Asuntos'!D14/NºAsuntos!G14," - ")</f>
        <v>0.32061068702290074</v>
      </c>
      <c r="AO14" s="1173">
        <f>IF(ISNUMBER((NºAsuntos!C14+NºAsuntos!E14)/NºAsuntos!G14),(NºAsuntos!C14+NºAsuntos!E14)/NºAsuntos!G14," - ")</f>
        <v>4.5114503816793894</v>
      </c>
      <c r="AP14" s="1174" t="str">
        <f t="shared" si="2"/>
        <v xml:space="preserve"> - </v>
      </c>
      <c r="AQ14" s="1174" t="str">
        <f>IF(ISNUMBER((H14-W14+K14)/(F14)),(H14-W14+K14)/(F14)," - ")</f>
        <v xml:space="preserve"> - </v>
      </c>
      <c r="AR14" s="1175">
        <f>IF(ISNUMBER((Datos!P14-Datos!Q14)/(Datos!R14-Datos!P14+Datos!Q14)),(Datos!P14-Datos!Q14)/(Datos!R14-Datos!P14+Datos!Q14)," - ")</f>
        <v>0.2857142857142857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87</v>
      </c>
      <c r="G17" s="373">
        <f>IF(ISNUMBER(IF(D_I="SI",Datos!I17,Datos!I17+Datos!AC17)),IF(D_I="SI",Datos!I17,Datos!I17+Datos!AC17)," - ")</f>
        <v>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v>
      </c>
      <c r="X17" s="240">
        <f>IF(ISNUMBER(Datos!Q17),Datos!Q17," - ")</f>
        <v>8</v>
      </c>
      <c r="Y17" s="374">
        <f t="shared" ref="Y17:Y22" si="9">SUM(W17:X17)</f>
        <v>142</v>
      </c>
      <c r="Z17" s="375" t="str">
        <f>IF(ISNUMBER(Datos!CC17),Datos!CC17," - ")</f>
        <v xml:space="preserve"> - </v>
      </c>
      <c r="AA17" s="372">
        <f>IF(ISNUMBER(IF(D_I="SI",Datos!L17,Datos!L17+Datos!AF17)),IF(D_I="SI",Datos!L17,Datos!L17+Datos!AF17)," - ")</f>
        <v>70</v>
      </c>
      <c r="AB17" s="374">
        <f>IF(ISNUMBER(Datos!R17),Datos!R17," - ")</f>
        <v>16</v>
      </c>
      <c r="AC17" s="374">
        <f t="shared" si="8"/>
        <v>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1.1452991452991452</v>
      </c>
      <c r="AM17" s="284">
        <f>IF(ISNUMBER(((NºAsuntos!I17/NºAsuntos!G17)*11)/factor_trimestre),((NºAsuntos!I17/NºAsuntos!G17)*11)/factor_trimestre," - ")</f>
        <v>1.5671641791044775</v>
      </c>
      <c r="AN17" s="267">
        <f>IF(ISNUMBER('Resol  Asuntos'!D17/NºAsuntos!G17),'Resol  Asuntos'!D17/NºAsuntos!G17," - ")</f>
        <v>0.2462686567164179</v>
      </c>
      <c r="AO17" s="268">
        <f>IF(ISNUMBER((NºAsuntos!C17+NºAsuntos!E17)/NºAsuntos!G17),(NºAsuntos!C17+NºAsuntos!E17)/NºAsuntos!G17," - ")</f>
        <v>1.5223880597014925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4</v>
      </c>
      <c r="AB18" s="374">
        <f>IF(ISNUMBER(Datos!R18),Datos!R18," - ")</f>
        <v>1</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0.66666666666666663</v>
      </c>
      <c r="AN18" s="267">
        <f>IF(ISNUMBER('Resol  Asuntos'!D18/NºAsuntos!G18),'Resol  Asuntos'!D18/NºAsuntos!G18," - ")</f>
        <v>0.5</v>
      </c>
      <c r="AO18" s="268">
        <f>IF(ISNUMBER((NºAsuntos!C18+NºAsuntos!E18)/NºAsuntos!G18),(NºAsuntos!C18+NºAsuntos!E18)/NºAsuntos!G18," - ")</f>
        <v>1.2222222222222223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87</v>
      </c>
      <c r="G23" s="1163">
        <f>SUBTOTAL(9,G16:G22)</f>
        <v>91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v>
      </c>
      <c r="X23" s="1164">
        <f t="shared" si="14"/>
        <v>8</v>
      </c>
      <c r="Y23" s="1165">
        <f t="shared" si="14"/>
        <v>160</v>
      </c>
      <c r="Z23" s="1165">
        <f t="shared" si="14"/>
        <v>0</v>
      </c>
      <c r="AA23" s="1165">
        <f t="shared" si="14"/>
        <v>74</v>
      </c>
      <c r="AB23" s="1165">
        <f t="shared" si="14"/>
        <v>17</v>
      </c>
      <c r="AC23" s="1165">
        <f t="shared" si="14"/>
        <v>91</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1.125925925925926</v>
      </c>
      <c r="AM23" s="1171">
        <f>IF(ISNUMBER(((NºAsuntos!I23/NºAsuntos!G23)*11)/factor_trimestre),((NºAsuntos!I23/NºAsuntos!G23)*11)/factor_trimestre," - ")</f>
        <v>1.4605263157894739</v>
      </c>
      <c r="AN23" s="1172">
        <f>IF(ISNUMBER('Resol  Asuntos'!D23/NºAsuntos!G23),'Resol  Asuntos'!D23/NºAsuntos!G23," - ")</f>
        <v>0.27631578947368424</v>
      </c>
      <c r="AO23" s="1173">
        <f>IF(ISNUMBER((NºAsuntos!C23+NºAsuntos!E23)/NºAsuntos!G23),(NºAsuntos!C23+NºAsuntos!E23)/NºAsuntos!G23," - ")</f>
        <v>1.486842105263158</v>
      </c>
      <c r="AP23" s="1174" t="str">
        <f t="shared" si="2"/>
        <v xml:space="preserve"> - </v>
      </c>
      <c r="AQ23" s="1174">
        <f>IF(ISNUMBER((H23-W23+K23)/(F23)),(H23-W23+K23)/(F23)," - ")</f>
        <v>-1.7471264367816093</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87</v>
      </c>
      <c r="G31" s="1118">
        <f t="shared" si="20"/>
        <v>91</v>
      </c>
      <c r="H31" s="1117">
        <f t="shared" si="20"/>
        <v>0</v>
      </c>
      <c r="I31" s="1119">
        <f t="shared" si="20"/>
        <v>0</v>
      </c>
      <c r="J31" s="1119">
        <f t="shared" si="20"/>
        <v>0</v>
      </c>
      <c r="K31" s="1180">
        <f t="shared" si="20"/>
        <v>0</v>
      </c>
      <c r="L31" s="1119">
        <f t="shared" si="20"/>
        <v>155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152</v>
      </c>
      <c r="X31" s="1118">
        <f t="shared" si="21"/>
        <v>57</v>
      </c>
      <c r="Y31" s="1125">
        <f t="shared" si="21"/>
        <v>209</v>
      </c>
      <c r="Z31" s="1125">
        <f t="shared" si="21"/>
        <v>0</v>
      </c>
      <c r="AA31" s="1125">
        <f t="shared" si="21"/>
        <v>77</v>
      </c>
      <c r="AB31" s="1125">
        <f t="shared" si="21"/>
        <v>467</v>
      </c>
      <c r="AC31" s="1125">
        <f t="shared" si="21"/>
        <v>94</v>
      </c>
      <c r="AD31" s="1125">
        <f t="shared" si="21"/>
        <v>0</v>
      </c>
      <c r="AE31" s="1127">
        <f t="shared" si="21"/>
        <v>0</v>
      </c>
      <c r="AF31" s="1128">
        <f t="shared" si="21"/>
        <v>0</v>
      </c>
      <c r="AG31" s="1129">
        <f t="shared" si="21"/>
        <v>0</v>
      </c>
      <c r="AH31" s="1127">
        <f t="shared" si="21"/>
        <v>0</v>
      </c>
      <c r="AI31" s="1117">
        <f t="shared" si="21"/>
        <v>84</v>
      </c>
      <c r="AJ31" s="1117">
        <f t="shared" si="21"/>
        <v>0</v>
      </c>
      <c r="AK31" s="1127">
        <f t="shared" si="21"/>
        <v>0</v>
      </c>
      <c r="AL31" s="1183">
        <f>IF(ISNUMBER(NºAsuntos!G31/NºAsuntos!E31),NºAsuntos!G31/NºAsuntos!E31," - ")</f>
        <v>0.54423076923076918</v>
      </c>
      <c r="AM31" s="1184">
        <f>IF(ISNUMBER(((NºAsuntos!I31/NºAsuntos!G31)*11)/factor_trimestre),((NºAsuntos!I31/NºAsuntos!G31)*11)/factor_trimestre," - ")</f>
        <v>5.6607773851590117</v>
      </c>
      <c r="AN31" s="1184">
        <f>IF(ISNUMBER('Resol  Asuntos'!D31/NºAsuntos!G31),'Resol  Asuntos'!D31/NºAsuntos!G31," - ")</f>
        <v>0.29681978798586572</v>
      </c>
      <c r="AO31" s="1185">
        <f>IF(ISNUMBER((NºAsuntos!C31+NºAsuntos!E31)/NºAsuntos!G31),(NºAsuntos!C31+NºAsuntos!E31)/NºAsuntos!G31," - ")</f>
        <v>2.8869257950530036</v>
      </c>
      <c r="AP31" s="1186" t="str">
        <f t="shared" si="2"/>
        <v xml:space="preserve"> - </v>
      </c>
      <c r="AQ31" s="1187">
        <f>IF(OR(ISNUMBER(FIND("01",Criterios!A8,1)),ISNUMBER(FIND("02",Criterios!A8,1)),ISNUMBER(FIND("03",Criterios!A8,1)),ISNUMBER(FIND("04",Criterios!A8,1))),(I31-W31+K31)/(F31-K31),(H31-W31+K31)/(F31-K31))</f>
        <v>-1.7471264367816093</v>
      </c>
      <c r="AR31" s="1188">
        <f>IF(ISNUMBER((Datos!P31-Datos!Q31)/(Datos!R31-Datos!P31+Datos!Q31)),(Datos!P31-Datos!Q31)/(Datos!R31-Datos!P31+Datos!Q31)," - ")</f>
        <v>0.26558265582655827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44.926606816006036</v>
      </c>
      <c r="G33" s="277">
        <f>IF(ISNUMBER(STDEV(G8:G30)),STDEV(G8:G30),"-")</f>
        <v>43.077449630481453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68.534315353349669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20.472978707136321</v>
      </c>
      <c r="AJ33" s="276">
        <f t="shared" si="25"/>
        <v>0</v>
      </c>
      <c r="AK33" s="278">
        <f t="shared" si="25"/>
        <v>0</v>
      </c>
      <c r="AL33" s="273">
        <f t="shared" si="25"/>
        <v>0.49123579340119994</v>
      </c>
      <c r="AM33" s="274">
        <f t="shared" si="25"/>
        <v>5.088557998235185</v>
      </c>
      <c r="AN33" s="274">
        <f t="shared" si="25"/>
        <v>9.8654866288736084E-2</v>
      </c>
      <c r="AO33" s="275">
        <f t="shared" si="25"/>
        <v>1.6961859994117279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TFFWQR0dvdWLUq+G+fnYfXSG62D227G+uawvXgSk/5q8n461csNZRoPPeZ9HeTYdUrmOAggiYWyHz6sRKqW0g==" saltValue="GxkBHzz9AIyeJ5YrVLAT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PRIEGO DE CORDOBA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0.05</v>
      </c>
      <c r="I12" s="395">
        <f>IF(ISNUMBER((Tasas!C12-Datos!BE12)/Datos!BE12),(Tasas!C12-Datos!BE12)/Datos!BE12," - ")</f>
        <v>0.893784078516903</v>
      </c>
      <c r="J12" s="394">
        <f>IF(ISNUMBER((Tasas!D12-Datos!BF12)/Datos!BF12),(Tasas!D12-Datos!BF12)/Datos!BF12," - ")</f>
        <v>2.2061068702290072</v>
      </c>
      <c r="K12" s="396">
        <f>IF(ISNUMBER((Tasas!E12-Datos!BG12)/Datos!BG12),(Tasas!E12-Datos!BG12)/Datos!BG12," - ")</f>
        <v>0.5793044953350297</v>
      </c>
      <c r="M12" t="e">
        <f>IF(Monitorios="SI",Datos!CE12,0)</f>
        <v>#REF!</v>
      </c>
      <c r="N12" t="e">
        <f>IF(Monitorios="SI",Datos!CF12,0)</f>
        <v>#REF!</v>
      </c>
      <c r="O12" t="e">
        <f>IF(Monitorios="SI",Datos!CG12,0)</f>
        <v>#REF!</v>
      </c>
      <c r="P12" t="e">
        <f>IF(Monitorios="SI",Datos!CH12,0)</f>
        <v>#REF!</v>
      </c>
      <c r="Q12">
        <f>IF(J_V="SI",0,Datos!AG12)</f>
        <v>20</v>
      </c>
      <c r="R12">
        <f>IF(J_V="SI",0,Datos!AH12)</f>
        <v>9</v>
      </c>
      <c r="S12">
        <f>IF(J_V="SI",0,Datos!AI12)</f>
        <v>16</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0.05</v>
      </c>
      <c r="I14" s="402">
        <f>IF(ISNUMBER((Tasas!C14-Datos!BE14)/Datos!BE14),(Tasas!C14-Datos!BE14)/Datos!BE14," - ")</f>
        <v>0.90621592148309715</v>
      </c>
      <c r="J14" s="400">
        <f>IF(ISNUMBER((Tasas!D14-Datos!BF14)/Datos!BF14),(Tasas!D14-Datos!BF14)/Datos!BF14," - ")</f>
        <v>2.2061068702290072</v>
      </c>
      <c r="K14" s="403">
        <f>IF(ISNUMBER((Tasas!E14-Datos!BG14)/Datos!BG14),(Tasas!E14-Datos!BG14)/Datos!BG14," - ")</f>
        <v>0.58736217133163704</v>
      </c>
      <c r="M14" t="e">
        <f>IF(Monitorios="SI",Datos!CE14,0)</f>
        <v>#REF!</v>
      </c>
      <c r="N14" t="e">
        <f>IF(Monitorios="SI",Datos!CF14,0)</f>
        <v>#REF!</v>
      </c>
      <c r="O14" t="e">
        <f>IF(Monitorios="SI",Datos!CG14,0)</f>
        <v>#REF!</v>
      </c>
      <c r="P14" t="e">
        <f>IF(Monitorios="SI",Datos!CH14,0)</f>
        <v>#REF!</v>
      </c>
      <c r="Q14">
        <f>IF(J_V="SI",0,Datos!AG14)</f>
        <v>20</v>
      </c>
      <c r="R14">
        <f>IF(J_V="SI",0,Datos!AH14)</f>
        <v>9</v>
      </c>
      <c r="S14">
        <f>IF(J_V="SI",0,Datos!AI14)</f>
        <v>16</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0.14473684210526316</v>
      </c>
      <c r="E17" s="393">
        <f>IF(ISNUMBER(
   IF(D_I="SI",(Datos!J17-Datos!T17)/Datos!T17,(Datos!J17+Datos!AD17-(Datos!T17+Datos!AL17))/(Datos!T17+Datos!AL17))
     ),IF(D_I="SI",(Datos!J17-Datos!T17)/Datos!T17,(Datos!J17+Datos!AD17-(Datos!T17+Datos!AL17))/(Datos!T17+Datos!AL17))," - ")</f>
        <v>-0.1702127659574468</v>
      </c>
      <c r="F17" s="393">
        <f>IF(ISNUMBER(
   IF(D_I="SI",(Datos!K17-Datos!U17)/Datos!U17,(Datos!K17+Datos!AE17-(Datos!U17+Datos!AM17))/(Datos!U17+Datos!AM17))
     ),IF(D_I="SI",(Datos!K17-Datos!U17)/Datos!U17,(Datos!K17+Datos!AE17-(Datos!U17+Datos!AM17))/(Datos!U17+Datos!AM17))," - ")</f>
        <v>-2.8985507246376812E-2</v>
      </c>
      <c r="G17" s="394">
        <f>IF(ISNUMBER(
   IF(D_I="SI",(Datos!L17-Datos!V17)/Datos!V17,(Datos!L17+Datos!AF17-(Datos!V17+Datos!AN17))/(Datos!V17+Datos!AN17))
     ),IF(D_I="SI",(Datos!L17-Datos!V17)/Datos!V17,(Datos!L17+Datos!AF17-(Datos!V17+Datos!AN17))/(Datos!V17+Datos!AN17))," - ")</f>
        <v>-0.13580246913580246</v>
      </c>
      <c r="H17" s="244">
        <f>IF(ISNUMBER((Datos!M17-Datos!W17)/Datos!W17),(Datos!M17-Datos!W17)/Datos!W17," - ")</f>
        <v>0.5</v>
      </c>
      <c r="I17" s="395">
        <f>IF(ISNUMBER((Tasas!C17-Datos!BE17)/Datos!BE17),(Tasas!C17-Datos!BE17)/Datos!BE17," - ")</f>
        <v>-0.11000552791597584</v>
      </c>
      <c r="J17" s="394">
        <f>IF(ISNUMBER((Tasas!D17-Datos!BF17)/Datos!BF17),(Tasas!D17-Datos!BF17)/Datos!BF17," - ")</f>
        <v>0.54477611940298509</v>
      </c>
      <c r="K17" s="396">
        <f>IF(ISNUMBER((Tasas!E17-Datos!BG17)/Datos!BG17),(Tasas!E17-Datos!BG17)/Datos!BG17," - ")</f>
        <v>-3.1845381387991013E-2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0.38461538461538464</v>
      </c>
      <c r="G18" s="394">
        <f>IF(ISNUMBER(
   IF(D_I="SI",(Datos!L18-Datos!V18)/Datos!V18,(Datos!L18+Datos!AF18-(Datos!V18+Datos!AN18))/(Datos!V18+Datos!AN18))
     ),IF(D_I="SI",(Datos!L18-Datos!V18)/Datos!V18,(Datos!L18+Datos!AF18-(Datos!V18+Datos!AN18))/(Datos!V18+Datos!AN18))," - ")</f>
        <v>0</v>
      </c>
      <c r="H18" s="244">
        <f>IF(ISNUMBER((Datos!M18-Datos!W18)/Datos!W18),(Datos!M18-Datos!W18)/Datos!W18," - ")</f>
        <v>3.5</v>
      </c>
      <c r="I18" s="395">
        <f>IF(ISNUMBER((Tasas!C18-Datos!BE18)/Datos!BE18),(Tasas!C18-Datos!BE18)/Datos!BE18," - ")</f>
        <v>-0.27777777777777785</v>
      </c>
      <c r="J18" s="394">
        <f>IF(ISNUMBER((Tasas!D18-Datos!BF18)/Datos!BF18),(Tasas!D18-Datos!BF18)/Datos!BF18," - ")</f>
        <v>2.25</v>
      </c>
      <c r="K18" s="396">
        <f>IF(ISNUMBER((Tasas!E18-Datos!BG18)/Datos!BG18),(Tasas!E18-Datos!BG18)/Datos!BG18," - ")</f>
        <v>-6.5359477124182941E-2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0.13750000000000001</v>
      </c>
      <c r="E23" s="399">
        <f>IF(ISNUMBER(
   IF(D_I="SI",(Datos!J23-Datos!T23)/Datos!T23,(Datos!J23+Datos!AD23-(Datos!T23+Datos!AL23))/(Datos!T23+Datos!AL23))
     ),IF(D_I="SI",(Datos!J23-Datos!T23)/Datos!T23,(Datos!J23+Datos!AD23-(Datos!T23+Datos!AL23))/(Datos!T23+Datos!AL23))," - ")</f>
        <v>-0.12337662337662338</v>
      </c>
      <c r="F23" s="399">
        <f>IF(ISNUMBER(
   IF(D_I="SI",(Datos!K23-Datos!U23)/Datos!U23,(Datos!K23+Datos!AE23-(Datos!U23+Datos!AM23))/(Datos!U23+Datos!AM23))
     ),IF(D_I="SI",(Datos!K23-Datos!U23)/Datos!U23,(Datos!K23+Datos!AE23-(Datos!U23+Datos!AM23))/(Datos!U23+Datos!AM23))," - ")</f>
        <v>6.6225165562913907E-3</v>
      </c>
      <c r="G23" s="400">
        <f>IF(ISNUMBER(
   IF(D_I="SI",(Datos!L23-Datos!V23)/Datos!V23,(Datos!L23+Datos!AF23-(Datos!V23+Datos!AN23))/(Datos!V23+Datos!AN23))
     ),IF(D_I="SI",(Datos!L23-Datos!V23)/Datos!V23,(Datos!L23+Datos!AF23-(Datos!V23+Datos!AN23))/(Datos!V23+Datos!AN23))," - ")</f>
        <v>-0.12941176470588237</v>
      </c>
      <c r="H23" s="401">
        <f>IF(ISNUMBER((Datos!M23-Datos!W23)/Datos!W23),(Datos!M23-Datos!W23)/Datos!W23," - ")</f>
        <v>0.75</v>
      </c>
      <c r="I23" s="402">
        <f>IF(ISNUMBER((Tasas!C23-Datos!BE23)/Datos!BE23),(Tasas!C23-Datos!BE23)/Datos!BE23," - ")</f>
        <v>-0.13513931888544886</v>
      </c>
      <c r="J23" s="400">
        <f>IF(ISNUMBER((Tasas!D23-Datos!BF23)/Datos!BF23),(Tasas!D23-Datos!BF23)/Datos!BF23," - ")</f>
        <v>0.73848684210526327</v>
      </c>
      <c r="K23" s="403">
        <f>IF(ISNUMBER((Tasas!E23-Datos!BG23)/Datos!BG23),(Tasas!E23-Datos!BG23)/Datos!BG23," - ")</f>
        <v>-4.0542060278902288E-2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-0.35010940919037198</v>
      </c>
      <c r="E31" s="409">
        <f>IF(ISNUMBER(
   IF(J_V="SI",(Datos!J31-Datos!T31)/Datos!T31,(Datos!J31+Datos!Z31-(Datos!T31+Datos!AH31))/(Datos!T31+Datos!AH31))
     ),IF(J_V="SI",(Datos!J31-Datos!T31)/Datos!T31,(Datos!J31+Datos!Z31-(Datos!T31+Datos!AH31))/(Datos!T31+Datos!AH31))," - ")</f>
        <v>0.64037854889589907</v>
      </c>
      <c r="F31" s="409">
        <f>IF(ISNUMBER(
   IF(J_V="SI",(Datos!K31-Datos!U31)/Datos!U31,(Datos!K31+Datos!AA31-(Datos!U31+Datos!AI31))/(Datos!U31+Datos!AI31))
     ),IF(J_V="SI",(Datos!K31-Datos!U31)/Datos!U31,(Datos!K31+Datos!AA31-(Datos!U31+Datos!AI31))/(Datos!U31+Datos!AI31))," - ")</f>
        <v>-0.17008797653958943</v>
      </c>
      <c r="G31" s="410">
        <f>IF(ISNUMBER(
   IF(J_V="SI",(Datos!L31-Datos!V31)/Datos!V31,(Datos!L31+Datos!AB31-(Datos!V31+Datos!AJ31))/(Datos!V31+Datos!AJ31))
     ),IF(J_V="SI",(Datos!L31-Datos!V31)/Datos!V31,(Datos!L31+Datos!AB31-(Datos!V31+Datos!AJ31))/(Datos!V31+Datos!AJ31))," - ")</f>
        <v>0.22758620689655173</v>
      </c>
      <c r="H31" s="411">
        <f>IF(ISNUMBER((Datos!M31-Datos!W31)/Datos!W31),(Datos!M31-Datos!W31)/Datos!W31," - ")</f>
        <v>0.3125</v>
      </c>
      <c r="I31" s="408">
        <f>IF(ISNUMBER((Tasas!C31-Datos!BE31)/Datos!BE31),(Tasas!C31-Datos!BE31)/Datos!BE31," - ")</f>
        <v>0.47917631290361895</v>
      </c>
      <c r="J31" s="409">
        <f>IF(ISNUMBER((Tasas!D31-Datos!BF31)/Datos!BF31),(Tasas!D31-Datos!BF31)/Datos!BF31," - ")</f>
        <v>1.3538499465855864</v>
      </c>
      <c r="K31" s="410">
        <f>IF(ISNUMBER((Tasas!E31-Datos!BG31)/Datos!BG31),(Tasas!E31-Datos!BG31)/Datos!BG31," - ")</f>
        <v>0.27188849627012163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8.1555068661467847E-2</v>
      </c>
      <c r="E33" s="303">
        <f t="shared" si="1"/>
        <v>0.30770217773676117</v>
      </c>
      <c r="F33" s="303">
        <f t="shared" si="1"/>
        <v>0.22920596175038546</v>
      </c>
      <c r="G33" s="304">
        <f t="shared" si="1"/>
        <v>7.662740651009689E-2</v>
      </c>
      <c r="H33" s="310">
        <f t="shared" si="1"/>
        <v>1.445942599137324</v>
      </c>
      <c r="I33" s="302">
        <f t="shared" si="1"/>
        <v>0.59190714987772575</v>
      </c>
      <c r="J33" s="303">
        <f t="shared" si="1"/>
        <v>0.86780453987057138</v>
      </c>
      <c r="K33" s="304">
        <f t="shared" si="1"/>
        <v>0.34488494361542754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MswlnwjeWNXvVGeuRDjYH/L3hknQGHW3weaLOoNeR1YP/iKsRVhmJFTLRjkoclkVoyTxVtJ6sUunl1te3zDg==" saltValue="8FIFybyTnUgtiAgj48Y2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